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Listy startowe" sheetId="1" r:id="rId4"/>
    <sheet state="visible" name="Młodzicy K" sheetId="2" r:id="rId5"/>
    <sheet state="visible" name="Młodzicy M" sheetId="3" r:id="rId6"/>
    <sheet state="visible" name="Jun Mł K" sheetId="4" r:id="rId7"/>
    <sheet state="visible" name="Jun Mł M" sheetId="5" r:id="rId8"/>
    <sheet state="visible" name="Jun K" sheetId="6" r:id="rId9"/>
    <sheet state="visible" name="Jun M" sheetId="7" r:id="rId10"/>
    <sheet state="visible" name="Sen K" sheetId="8" r:id="rId11"/>
    <sheet state="visible" name="Sen M" sheetId="9" r:id="rId12"/>
    <sheet state="visible" name="WYNIKI" sheetId="10" r:id="rId13"/>
  </sheets>
  <definedNames/>
  <calcPr/>
</workbook>
</file>

<file path=xl/sharedStrings.xml><?xml version="1.0" encoding="utf-8"?>
<sst xmlns="http://schemas.openxmlformats.org/spreadsheetml/2006/main" count="763" uniqueCount="314">
  <si>
    <t>Seniorki</t>
  </si>
  <si>
    <t>lp</t>
  </si>
  <si>
    <t>Imię</t>
  </si>
  <si>
    <t>Nazwisko</t>
  </si>
  <si>
    <t>Nr startowy</t>
  </si>
  <si>
    <t>Klub</t>
  </si>
  <si>
    <t>Droga EL1</t>
  </si>
  <si>
    <t>Dzieński</t>
  </si>
  <si>
    <t>Marcin</t>
  </si>
  <si>
    <t>KU AZS PWSZ Tarnów</t>
  </si>
  <si>
    <t>Podlewski</t>
  </si>
  <si>
    <t>Bartłomiej</t>
  </si>
  <si>
    <t>Klub Sportowy Sportiva Tarnów</t>
  </si>
  <si>
    <t>Przytuła</t>
  </si>
  <si>
    <t>Hubert</t>
  </si>
  <si>
    <t>Klub Uczelniany AZS Uniwersytetu Warszawskiego</t>
  </si>
  <si>
    <t>Wróblewski</t>
  </si>
  <si>
    <t>Mikołaj</t>
  </si>
  <si>
    <t>62 (brak licencji)</t>
  </si>
  <si>
    <t>KU AZS PWSZ Sekcja Wspin Sport</t>
  </si>
  <si>
    <t>Kroszka</t>
  </si>
  <si>
    <t>Jan</t>
  </si>
  <si>
    <t>Klub Wspinaczki Sportowej Klif Tarnowskie Góry</t>
  </si>
  <si>
    <t>Strączyński</t>
  </si>
  <si>
    <t>Ernest</t>
  </si>
  <si>
    <t>49 (brak licencji)</t>
  </si>
  <si>
    <t>Klub Wysokogórski Częstochowa</t>
  </si>
  <si>
    <t>Tkaczyk</t>
  </si>
  <si>
    <t>Pol-Inowex Skarpa Lublin</t>
  </si>
  <si>
    <t>Yaroslav</t>
  </si>
  <si>
    <t>Tkach</t>
  </si>
  <si>
    <t>UMCF</t>
  </si>
  <si>
    <t>Shutko</t>
  </si>
  <si>
    <t>Mark</t>
  </si>
  <si>
    <t>Siewierodonieck K D Ju S Sz 1</t>
  </si>
  <si>
    <t>Tymur</t>
  </si>
  <si>
    <t>Diatlov</t>
  </si>
  <si>
    <t>FormAT</t>
  </si>
  <si>
    <t xml:space="preserve"> </t>
  </si>
  <si>
    <t>Droga EL2</t>
  </si>
  <si>
    <t>Badania</t>
  </si>
  <si>
    <t>Zgoda rodziców</t>
  </si>
  <si>
    <t>Droga A</t>
  </si>
  <si>
    <t>Droga B</t>
  </si>
  <si>
    <t>Lepszy czas</t>
  </si>
  <si>
    <t>Dobrzańska</t>
  </si>
  <si>
    <t>Zofia</t>
  </si>
  <si>
    <t>Klub Sportowy Skarpa Bytom</t>
  </si>
  <si>
    <t>T</t>
  </si>
  <si>
    <t>Zalewska</t>
  </si>
  <si>
    <t>Jagoda</t>
  </si>
  <si>
    <t>Tarczoń</t>
  </si>
  <si>
    <t>Antonina</t>
  </si>
  <si>
    <t>Luby</t>
  </si>
  <si>
    <t>Zuzanna</t>
  </si>
  <si>
    <t>Klub Sportowy MOVE! Avatar</t>
  </si>
  <si>
    <t>Niziołek</t>
  </si>
  <si>
    <t>Nina</t>
  </si>
  <si>
    <t>Finał</t>
  </si>
  <si>
    <t>Płonka</t>
  </si>
  <si>
    <t>Międzyszkolny Klub Sportowy Pałac Młodzieży w Tarnowie</t>
  </si>
  <si>
    <t>I miejsce</t>
  </si>
  <si>
    <t>Zając</t>
  </si>
  <si>
    <t>Daria</t>
  </si>
  <si>
    <t>Sekcja Wspinaczkowa KS "Korona"</t>
  </si>
  <si>
    <t>Kopcińska</t>
  </si>
  <si>
    <t>Aleksandra</t>
  </si>
  <si>
    <t>FINAŁ</t>
  </si>
  <si>
    <t>II miejsce</t>
  </si>
  <si>
    <t>Podgórni</t>
  </si>
  <si>
    <t>Dobrowolska</t>
  </si>
  <si>
    <t>Pola</t>
  </si>
  <si>
    <t>Murall UKA</t>
  </si>
  <si>
    <t>Świątek</t>
  </si>
  <si>
    <t>Kaja</t>
  </si>
  <si>
    <t>Półfinał</t>
  </si>
  <si>
    <t>Ciombor</t>
  </si>
  <si>
    <t>Kinga</t>
  </si>
  <si>
    <t>III miejsce</t>
  </si>
  <si>
    <t>Cesarz</t>
  </si>
  <si>
    <t>Amelia</t>
  </si>
  <si>
    <t>Kolanek</t>
  </si>
  <si>
    <t>Martyna</t>
  </si>
  <si>
    <t>IV miejsce</t>
  </si>
  <si>
    <t>Kiersztyn</t>
  </si>
  <si>
    <t>Kamila</t>
  </si>
  <si>
    <t>Bombiak-Matuszewska</t>
  </si>
  <si>
    <t>Oliwia</t>
  </si>
  <si>
    <t>Łódzki Klub Wysokogórski</t>
  </si>
  <si>
    <t>Świerczek</t>
  </si>
  <si>
    <t>Fent</t>
  </si>
  <si>
    <t>Bilejczyk</t>
  </si>
  <si>
    <t>Franek</t>
  </si>
  <si>
    <t>Oleksy</t>
  </si>
  <si>
    <t>Maciej</t>
  </si>
  <si>
    <t>Kasiński</t>
  </si>
  <si>
    <t>Gabriel</t>
  </si>
  <si>
    <t>Fronczak</t>
  </si>
  <si>
    <t>Krzysztof</t>
  </si>
  <si>
    <t>Chaciński</t>
  </si>
  <si>
    <t>Laskowski</t>
  </si>
  <si>
    <t>Bartosz</t>
  </si>
  <si>
    <t>GTW AKADEMIA WSPINACZKI</t>
  </si>
  <si>
    <t>Marcisz</t>
  </si>
  <si>
    <t>Antoni</t>
  </si>
  <si>
    <t>Myśliwiec</t>
  </si>
  <si>
    <t>Maksymilian</t>
  </si>
  <si>
    <t>(TYLKO ELIMINACJE)</t>
  </si>
  <si>
    <t>Prajsnar</t>
  </si>
  <si>
    <t>Kozak</t>
  </si>
  <si>
    <t>Kajetan</t>
  </si>
  <si>
    <t>Pilch</t>
  </si>
  <si>
    <t>Butra</t>
  </si>
  <si>
    <t>Aleksander</t>
  </si>
  <si>
    <t>Fedorowski</t>
  </si>
  <si>
    <t>Jeremi</t>
  </si>
  <si>
    <t>Finały Juniorki Młodsze</t>
  </si>
  <si>
    <t>Stokowiec</t>
  </si>
  <si>
    <t>Speleoklub Świętokrzyski</t>
  </si>
  <si>
    <t>Kurek</t>
  </si>
  <si>
    <t>Małgorzata</t>
  </si>
  <si>
    <t>Mazur</t>
  </si>
  <si>
    <t>Ptak</t>
  </si>
  <si>
    <t>Karolina</t>
  </si>
  <si>
    <t>Włodarczyk</t>
  </si>
  <si>
    <t>Natalia</t>
  </si>
  <si>
    <t>Pietkiewicz</t>
  </si>
  <si>
    <t>Bibro</t>
  </si>
  <si>
    <t>Ciborowska</t>
  </si>
  <si>
    <t>Róża</t>
  </si>
  <si>
    <t>Wiejaczka</t>
  </si>
  <si>
    <t>Anna</t>
  </si>
  <si>
    <t>Kloch</t>
  </si>
  <si>
    <t>Magdalena</t>
  </si>
  <si>
    <t>Malczyk</t>
  </si>
  <si>
    <t>Sochal</t>
  </si>
  <si>
    <t>Gabriela</t>
  </si>
  <si>
    <t>Finały Juniorzy Młodsi</t>
  </si>
  <si>
    <t>Swęd</t>
  </si>
  <si>
    <t>Nawój</t>
  </si>
  <si>
    <t>Eryk</t>
  </si>
  <si>
    <t>Kopel</t>
  </si>
  <si>
    <t>Szymon</t>
  </si>
  <si>
    <t>Adamczyk</t>
  </si>
  <si>
    <t>Bełchatowski Klub Wysokogórski</t>
  </si>
  <si>
    <t>Rygiel</t>
  </si>
  <si>
    <t>Klub Wspinaczkowy AGAMA</t>
  </si>
  <si>
    <t>Barabas</t>
  </si>
  <si>
    <t>Ostafiński</t>
  </si>
  <si>
    <t>Tymon</t>
  </si>
  <si>
    <t>Dąbrowski</t>
  </si>
  <si>
    <t>Mateusz</t>
  </si>
  <si>
    <t>Muzaj</t>
  </si>
  <si>
    <t>Michał</t>
  </si>
  <si>
    <t>Sarnecki</t>
  </si>
  <si>
    <t>Igor</t>
  </si>
  <si>
    <t>Nowak</t>
  </si>
  <si>
    <t>Filip</t>
  </si>
  <si>
    <t>Robert</t>
  </si>
  <si>
    <t>Siwek</t>
  </si>
  <si>
    <t>Artur</t>
  </si>
  <si>
    <t>Jurowski</t>
  </si>
  <si>
    <t>Tutaj</t>
  </si>
  <si>
    <t>Łoboda</t>
  </si>
  <si>
    <t>Szczygła</t>
  </si>
  <si>
    <t>Blaszke</t>
  </si>
  <si>
    <t>Kacper</t>
  </si>
  <si>
    <t>Finały Juniorki</t>
  </si>
  <si>
    <t>Marciniak</t>
  </si>
  <si>
    <t>Blachnicka</t>
  </si>
  <si>
    <t>Sznajder</t>
  </si>
  <si>
    <t>Arlena</t>
  </si>
  <si>
    <t>Alicja</t>
  </si>
  <si>
    <t>Markisch</t>
  </si>
  <si>
    <t>Olimpia</t>
  </si>
  <si>
    <t>Chojnacka</t>
  </si>
  <si>
    <t>Bujak</t>
  </si>
  <si>
    <t>Finały Juniorzy</t>
  </si>
  <si>
    <t>Kosmalski</t>
  </si>
  <si>
    <t>Błażej</t>
  </si>
  <si>
    <t>Szalecki</t>
  </si>
  <si>
    <t>Oskar</t>
  </si>
  <si>
    <t>Panenka</t>
  </si>
  <si>
    <t>Jerzy</t>
  </si>
  <si>
    <t>Klub Sportowy Alpika</t>
  </si>
  <si>
    <t>Ruzicki</t>
  </si>
  <si>
    <t>Patryk</t>
  </si>
  <si>
    <t>Bąbel</t>
  </si>
  <si>
    <t>Rymek</t>
  </si>
  <si>
    <t>Finały Seniorki</t>
  </si>
  <si>
    <t>Mirosław</t>
  </si>
  <si>
    <t>Klub Wspinaczkowy Kotłownia</t>
  </si>
  <si>
    <t>Kałucka</t>
  </si>
  <si>
    <t>Brożek</t>
  </si>
  <si>
    <t>Chudziak</t>
  </si>
  <si>
    <t>Patrycja</t>
  </si>
  <si>
    <t>Tkachova</t>
  </si>
  <si>
    <t>DFKS</t>
  </si>
  <si>
    <t>Szwed</t>
  </si>
  <si>
    <t>Maria</t>
  </si>
  <si>
    <t>Lesiewicz</t>
  </si>
  <si>
    <t>Agata</t>
  </si>
  <si>
    <t>Woś</t>
  </si>
  <si>
    <t>Janecka</t>
  </si>
  <si>
    <t>Bianka</t>
  </si>
  <si>
    <t>Finały Seniorzy</t>
  </si>
  <si>
    <t>WYNIKI CZASÓWKI</t>
  </si>
  <si>
    <t>MŁODZICZKI</t>
  </si>
  <si>
    <t>Antonina Tarczoń Klub Sportowy Sportiva Tarnów</t>
  </si>
  <si>
    <t>Zuzanna Luby Klub Sportowy MOVE! Avatar</t>
  </si>
  <si>
    <t>Zofia Dobrzańska Klub Sportowy Skarpa Bytom</t>
  </si>
  <si>
    <t>Daria Zając Sekcja Wspinaczkowa KS "Korona"</t>
  </si>
  <si>
    <t>Aleksandra Kopcińska Klub Sportowy MOVE! Avatar</t>
  </si>
  <si>
    <t>Zuzanna Płonka MKS Pałac Młodzieży w Tarnowie</t>
  </si>
  <si>
    <t>Nina Niziołek Klub Sportowy Skarpa Bytom</t>
  </si>
  <si>
    <t>Jagoda Zalewska Klub Wspinaczki Sportowej Klif Tarnowskie Góry</t>
  </si>
  <si>
    <t xml:space="preserve">Jagoda Podgórni </t>
  </si>
  <si>
    <t>Pola Dobrowolska Murall UKA</t>
  </si>
  <si>
    <t>Kaja Świątek Murall UKA</t>
  </si>
  <si>
    <t>Kinga Ciombor Klub Sportowy MOVE! Avatar</t>
  </si>
  <si>
    <t>Amelia Cesarz Klub Sportowy Skarpa Bytom</t>
  </si>
  <si>
    <t>Martyna Kolanek Klub Wspinaczki Sportowej Klif Tarnowskie Góry</t>
  </si>
  <si>
    <t xml:space="preserve">Kamila Kiersztyn </t>
  </si>
  <si>
    <t>Oliwia Bombiak-Matuszewska Łódzki Klub Wysokogórski</t>
  </si>
  <si>
    <t>Antonina Świerczek Klub Wspinaczki Sportowej Klif Tarnowskie Góry</t>
  </si>
  <si>
    <t>Amelia Fent Klub Wspinaczki Sportowej Klif Tarnowskie Góry</t>
  </si>
  <si>
    <t>MŁODZICY</t>
  </si>
  <si>
    <t>Krzysztof Fronczak Murall UKA</t>
  </si>
  <si>
    <t>Maciej Oleksy Klub Sportowy MOVE! Avatar</t>
  </si>
  <si>
    <t>Franek Bilejczyk Murall UKA</t>
  </si>
  <si>
    <t>Bartosz Laskowski 18</t>
  </si>
  <si>
    <t>Jan Chaciński Pol-Inowex Skarpa Lublin</t>
  </si>
  <si>
    <t>Antoni Marcisz Sekcja Wspinaczkowa KS "Korona"</t>
  </si>
  <si>
    <t>Maksymilian Myśliwiec</t>
  </si>
  <si>
    <t>Gabriel Kasiński Klub Sportowy MOVE! Avatar</t>
  </si>
  <si>
    <t>Jan Prajsnar Murall UKA</t>
  </si>
  <si>
    <t>Kajetan Kozak Murall UKA</t>
  </si>
  <si>
    <t>Jan Pilch Sekcja Wspinaczkowa KS "Korona"</t>
  </si>
  <si>
    <t>Aleksander Butra</t>
  </si>
  <si>
    <t>Jeremi Fedorowski</t>
  </si>
  <si>
    <t>JUNIORKI MŁODSZE</t>
  </si>
  <si>
    <t>Martyna Stokowiec Speleoklub Świętokrzyski</t>
  </si>
  <si>
    <t>Amelia Mazur Klub Wspinaczki Sportowej Klif Tarnowskie Góry</t>
  </si>
  <si>
    <t xml:space="preserve">Małgorzata Kurek </t>
  </si>
  <si>
    <t>Karolina Ptak Klub Wspinaczki Sportowej Klif Tarnowskie Góry</t>
  </si>
  <si>
    <t>Pola Pietkiewicz Murall UKA</t>
  </si>
  <si>
    <t>Natalia Włodarczyk Klub Wspinaczki Sportowej Klif Tarnowskie Góry</t>
  </si>
  <si>
    <t>Natalia Bibro MKS Pałac Młodzieży w Tarnowie</t>
  </si>
  <si>
    <t>Róża Ciborowska Murall UKA</t>
  </si>
  <si>
    <t>Anna Wiejaczka MKS Pałac Młodzieży w Tarnowie</t>
  </si>
  <si>
    <t>Magdalena Kloch MKS Pałac Młodzieży w Tarnowie</t>
  </si>
  <si>
    <t>Zuzanna Malczyk Klub Wspinaczki Sportowej Klif Tarnowskie Góry</t>
  </si>
  <si>
    <t>Gabriela Sochal Pol-Inowex Skarpa Lublin</t>
  </si>
  <si>
    <t>JUNIORZY MŁODSI</t>
  </si>
  <si>
    <t>Eryk Nawój Klub Sportowy Sportiva Tarnów</t>
  </si>
  <si>
    <t>Bartłomiej Adamczyk Bełchatowski Klub Wysokogórski</t>
  </si>
  <si>
    <t>Jan Swęd Murall UKA</t>
  </si>
  <si>
    <t>Mikołaj Barabas Pol-Inowex Skarpa Lublin</t>
  </si>
  <si>
    <t>Antoni Rygiel Klub Wspinaczkowy AGAMA</t>
  </si>
  <si>
    <t>Tymon Ostafiński Klub Wspinaczki Sportowej Klif Tarnowskie Góry</t>
  </si>
  <si>
    <t>Mateusz Dąbrowski Murall UKA</t>
  </si>
  <si>
    <t>Szymon Kopel Klub Sportowy Skarpa Bytom</t>
  </si>
  <si>
    <t xml:space="preserve">Igor Sarnecki </t>
  </si>
  <si>
    <t>Michał Muzaj Murall UKA</t>
  </si>
  <si>
    <t>Mateusz Muzaj Murall UKA</t>
  </si>
  <si>
    <t>Maksymilian Siwek Klub Sportowy Skarpa Bytom</t>
  </si>
  <si>
    <t xml:space="preserve">Filip Nowak </t>
  </si>
  <si>
    <t xml:space="preserve">Jurowski Artur </t>
  </si>
  <si>
    <t>Filip Tutaj Klub Sportowy Sportiva Tarnów</t>
  </si>
  <si>
    <t>Robert Zając Sekcja Wspinaczkowa KS "Korona"</t>
  </si>
  <si>
    <t>Filip Łoboda MKS Pałac Młodzieży w Tarnowie</t>
  </si>
  <si>
    <t>Antoni Szczygła Pol-Inowex Skarpa Lublin</t>
  </si>
  <si>
    <t>Kacper Blaszke Klub Sportowy Skarpa Bytom</t>
  </si>
  <si>
    <t>JUNIORKI</t>
  </si>
  <si>
    <t>Daria Marciniak Łódzki Klub Wysokogórski</t>
  </si>
  <si>
    <t>Arlena Sznajder Klub Wspinaczki Sportowej Klif Tarnowskie Góry</t>
  </si>
  <si>
    <t>Magdalena Blachnicka Klub Sportowy Skarpa Bytom</t>
  </si>
  <si>
    <t>Alicja Nowak KU AZS PWSZ Tarnów</t>
  </si>
  <si>
    <t>Olimpia Markisch Klub Wspinaczki Sportowej Klif Tarnowskie Góry</t>
  </si>
  <si>
    <t>Natalia Chojnacka Łódzki Klub Wysokogórski</t>
  </si>
  <si>
    <t>Antonina Bujak Pol-Inowex Skarpa Lublin</t>
  </si>
  <si>
    <t>JUNIORZY</t>
  </si>
  <si>
    <t>Błażej Kosmalski Łódzki Klub Wysokogórski</t>
  </si>
  <si>
    <t>Oskar Szalecki KU AZS PWSZ Tarnów</t>
  </si>
  <si>
    <t>Szymon Dąbrowski Murall UKA</t>
  </si>
  <si>
    <t>Jerzy Panenka Klub Sportowy Alpika</t>
  </si>
  <si>
    <t>Patryk Ruzicki Łódzki Klub Wysokogórski</t>
  </si>
  <si>
    <t>Antoni Bąbel Speleoklub Świętokrzyski</t>
  </si>
  <si>
    <t>Krzysztof Rymek MKS Pałac Młodzieży w Tarnowie</t>
  </si>
  <si>
    <t>MŁODZIEŻÓWKI</t>
  </si>
  <si>
    <t>Daria Nawój Klub Sportowy Sportiva Tarnów</t>
  </si>
  <si>
    <t>Maria Szwed Pol-Inowex Skarpa Lublin</t>
  </si>
  <si>
    <t>Bianka Janecka Klub Wysokogórski Częstochowa</t>
  </si>
  <si>
    <t>MŁODZIEŻOWCY</t>
  </si>
  <si>
    <t>Jan Tkaczyk Pol-Inowex Skarpa Lublin</t>
  </si>
  <si>
    <t>Jan Kroszka Klub Wspinaczki Sportowej Klif Tarnowskie Góry</t>
  </si>
  <si>
    <t>Ernest Strączyński Klub Wysokogórski Częstochowa</t>
  </si>
  <si>
    <t>SENIORKI</t>
  </si>
  <si>
    <t>Aleksandra Mirosław Klub Wspinaczkowy Kotłownia</t>
  </si>
  <si>
    <t>Natalia Kałucka KU AZS PWSZ Tarnów</t>
  </si>
  <si>
    <t>Aleksandra Kałucka KU AZS PWSZ Tarnów</t>
  </si>
  <si>
    <t>Anna Brożek KU AZS PWSZ Tarnów</t>
  </si>
  <si>
    <t>Patrycja Chudziak Klub Uczelniany AZS Uniwersytetu Warszawskiego</t>
  </si>
  <si>
    <t>Agata Lesiewicz Pol-Inowex Skarpa Lublin</t>
  </si>
  <si>
    <t>Tkachova Daria DFKS</t>
  </si>
  <si>
    <t>Natalia Woś Pol-Inowex Skarpa Lublin</t>
  </si>
  <si>
    <t>SENIORZY</t>
  </si>
  <si>
    <t>Tkach Yaroslav UMCF</t>
  </si>
  <si>
    <t>Marcin Dzieński KU AZS PWSZ Tarnów</t>
  </si>
  <si>
    <t>Hubert Przytuła Klub Uczelniany AZS Uniwersytetu Warszawskiego</t>
  </si>
  <si>
    <t>Diatlov Tymur FormAT</t>
  </si>
  <si>
    <t>Mark Shutko Siewierodonieck K D Ju S Sz 1</t>
  </si>
  <si>
    <t>Bartłomiej Podlewski Klub Sportowy Sportiva Tarnów</t>
  </si>
  <si>
    <t>Mikołaj Wróblewski KU AZS PWSZ Sekcja Wspin Sport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</si>
</sst>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yyyy-mm-dd"/>
  </numFmts>
  <fonts count="11">
    <font>
      <sz val="10.0"/>
      <color rgb="FF000000"/>
      <name val="Arial"/>
      <scheme val="minor"/>
    </font>
    <font>
      <color theme="1"/>
      <name val="Arial"/>
      <scheme val="minor"/>
    </font>
    <font>
      <sz val="24.0"/>
      <color theme="1"/>
      <name val="Arial"/>
      <scheme val="minor"/>
    </font>
    <font>
      <color rgb="FF000000"/>
      <name val="Arial"/>
    </font>
    <font>
      <sz val="18.0"/>
      <color theme="1"/>
      <name val="Arial"/>
      <scheme val="minor"/>
    </font>
    <font>
      <color theme="1"/>
      <name val="Arial"/>
    </font>
    <font>
      <color rgb="FF282828"/>
      <name val="&quot;Open Sans&quot;"/>
    </font>
    <font>
      <b/>
      <sz val="14.0"/>
      <color theme="1"/>
      <name val="Arial"/>
      <scheme val="minor"/>
    </font>
    <font>
      <b/>
      <color theme="1"/>
      <name val="Arial"/>
      <scheme val="minor"/>
    </font>
    <font>
      <sz val="9.0"/>
      <color rgb="FF000000"/>
      <name val="Arial"/>
    </font>
    <font>
      <sz val="14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ck">
        <color rgb="FF000000"/>
      </bottom>
    </border>
    <border>
      <top style="thick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dotted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dotted">
        <color rgb="FF000000"/>
      </right>
      <bottom style="thin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 readingOrder="0" vertical="top"/>
    </xf>
    <xf borderId="0" fillId="0" fontId="1" numFmtId="0" xfId="0" applyAlignment="1" applyFont="1">
      <alignment horizontal="left" readingOrder="0"/>
    </xf>
    <xf borderId="0" fillId="2" fontId="3" numFmtId="0" xfId="0" applyAlignment="1" applyFill="1" applyFont="1">
      <alignment horizontal="left" readingOrder="0"/>
    </xf>
    <xf borderId="0" fillId="0" fontId="4" numFmtId="0" xfId="0" applyAlignment="1" applyFont="1">
      <alignment horizontal="center" readingOrder="0" textRotation="90" vertical="center"/>
    </xf>
    <xf borderId="0" fillId="0" fontId="1" numFmtId="0" xfId="0" applyAlignment="1" applyFont="1">
      <alignment horizontal="left"/>
    </xf>
    <xf borderId="0" fillId="0" fontId="5" numFmtId="0" xfId="0" applyAlignment="1" applyFont="1">
      <alignment vertical="bottom"/>
    </xf>
    <xf borderId="0" fillId="0" fontId="1" numFmtId="0" xfId="0" applyAlignment="1" applyFont="1">
      <alignment readingOrder="0"/>
    </xf>
    <xf borderId="1" fillId="3" fontId="1" numFmtId="0" xfId="0" applyAlignment="1" applyBorder="1" applyFill="1" applyFont="1">
      <alignment readingOrder="0"/>
    </xf>
    <xf borderId="2" fillId="0" fontId="1" numFmtId="0" xfId="0" applyAlignment="1" applyBorder="1" applyFont="1">
      <alignment readingOrder="0"/>
    </xf>
    <xf borderId="0" fillId="3" fontId="1" numFmtId="0" xfId="0" applyFont="1"/>
    <xf borderId="1" fillId="3" fontId="1" numFmtId="0" xfId="0" applyBorder="1" applyFont="1"/>
    <xf borderId="1" fillId="3" fontId="5" numFmtId="0" xfId="0" applyAlignment="1" applyBorder="1" applyFont="1">
      <alignment vertical="bottom"/>
    </xf>
    <xf borderId="3" fillId="3" fontId="5" numFmtId="0" xfId="0" applyAlignment="1" applyBorder="1" applyFont="1">
      <alignment vertical="bottom"/>
    </xf>
    <xf borderId="4" fillId="0" fontId="1" numFmtId="0" xfId="0" applyAlignment="1" applyBorder="1" applyFont="1">
      <alignment horizontal="left" readingOrder="0"/>
    </xf>
    <xf borderId="4" fillId="0" fontId="1" numFmtId="0" xfId="0" applyAlignment="1" applyBorder="1" applyFont="1">
      <alignment horizontal="left"/>
    </xf>
    <xf borderId="4" fillId="0" fontId="1" numFmtId="0" xfId="0" applyAlignment="1" applyBorder="1" applyFont="1">
      <alignment horizontal="left"/>
    </xf>
    <xf borderId="5" fillId="0" fontId="1" numFmtId="0" xfId="0" applyAlignment="1" applyBorder="1" applyFont="1">
      <alignment horizontal="left"/>
    </xf>
    <xf borderId="0" fillId="0" fontId="1" numFmtId="0" xfId="0" applyFont="1"/>
    <xf borderId="0" fillId="4" fontId="6" numFmtId="0" xfId="0" applyAlignment="1" applyFill="1" applyFont="1">
      <alignment readingOrder="0"/>
    </xf>
    <xf borderId="0" fillId="4" fontId="1" numFmtId="0" xfId="0" applyAlignment="1" applyFont="1">
      <alignment readingOrder="0"/>
    </xf>
    <xf borderId="0" fillId="4" fontId="1" numFmtId="0" xfId="0" applyFont="1"/>
    <xf borderId="4" fillId="2" fontId="3" numFmtId="0" xfId="0" applyAlignment="1" applyBorder="1" applyFont="1">
      <alignment horizontal="left" readingOrder="0"/>
    </xf>
    <xf borderId="4" fillId="4" fontId="6" numFmtId="0" xfId="0" applyAlignment="1" applyBorder="1" applyFont="1">
      <alignment readingOrder="0"/>
    </xf>
    <xf borderId="4" fillId="4" fontId="1" numFmtId="0" xfId="0" applyAlignment="1" applyBorder="1" applyFont="1">
      <alignment readingOrder="0"/>
    </xf>
    <xf borderId="5" fillId="4" fontId="1" numFmtId="0" xfId="0" applyBorder="1" applyFont="1"/>
    <xf borderId="0" fillId="4" fontId="6" numFmtId="0" xfId="0" applyFont="1"/>
    <xf borderId="0" fillId="4" fontId="1" numFmtId="0" xfId="0" applyAlignment="1" applyFont="1">
      <alignment horizontal="left" readingOrder="0"/>
    </xf>
    <xf borderId="0" fillId="0" fontId="7" numFmtId="0" xfId="0" applyAlignment="1" applyFont="1">
      <alignment horizontal="left" readingOrder="0"/>
    </xf>
    <xf borderId="0" fillId="0" fontId="1" numFmtId="164" xfId="0" applyAlignment="1" applyFont="1" applyNumberFormat="1">
      <alignment horizontal="left"/>
    </xf>
    <xf borderId="0" fillId="0" fontId="8" numFmtId="0" xfId="0" applyAlignment="1" applyFont="1">
      <alignment horizontal="left" readingOrder="0"/>
    </xf>
    <xf borderId="1" fillId="3" fontId="1" numFmtId="0" xfId="0" applyAlignment="1" applyBorder="1" applyFont="1">
      <alignment horizontal="left" readingOrder="0"/>
    </xf>
    <xf borderId="2" fillId="0" fontId="1" numFmtId="0" xfId="0" applyAlignment="1" applyBorder="1" applyFont="1">
      <alignment horizontal="left" readingOrder="0"/>
    </xf>
    <xf borderId="0" fillId="3" fontId="1" numFmtId="0" xfId="0" applyAlignment="1" applyFont="1">
      <alignment horizontal="left"/>
    </xf>
    <xf borderId="1" fillId="3" fontId="1" numFmtId="0" xfId="0" applyAlignment="1" applyBorder="1" applyFont="1">
      <alignment horizontal="left"/>
    </xf>
    <xf borderId="6" fillId="2" fontId="9" numFmtId="0" xfId="0" applyAlignment="1" applyBorder="1" applyFont="1">
      <alignment horizontal="left" readingOrder="0"/>
    </xf>
    <xf borderId="1" fillId="3" fontId="5" numFmtId="0" xfId="0" applyAlignment="1" applyBorder="1" applyFont="1">
      <alignment horizontal="left" vertical="bottom"/>
    </xf>
    <xf borderId="3" fillId="3" fontId="5" numFmtId="0" xfId="0" applyAlignment="1" applyBorder="1" applyFont="1">
      <alignment horizontal="left" vertical="bottom"/>
    </xf>
    <xf borderId="4" fillId="0" fontId="1" numFmtId="164" xfId="0" applyAlignment="1" applyBorder="1" applyFont="1" applyNumberFormat="1">
      <alignment horizontal="left"/>
    </xf>
    <xf borderId="2" fillId="0" fontId="5" numFmtId="0" xfId="0" applyAlignment="1" applyBorder="1" applyFont="1">
      <alignment horizontal="left" readingOrder="0" vertical="bottom"/>
    </xf>
    <xf borderId="7" fillId="0" fontId="5" numFmtId="0" xfId="0" applyAlignment="1" applyBorder="1" applyFont="1">
      <alignment horizontal="left" vertical="bottom"/>
    </xf>
    <xf borderId="0" fillId="0" fontId="5" numFmtId="0" xfId="0" applyAlignment="1" applyFont="1">
      <alignment horizontal="left" vertical="bottom"/>
    </xf>
    <xf borderId="8" fillId="0" fontId="5" numFmtId="0" xfId="0" applyAlignment="1" applyBorder="1" applyFont="1">
      <alignment horizontal="left" vertical="bottom"/>
    </xf>
    <xf borderId="9" fillId="3" fontId="5" numFmtId="0" xfId="0" applyAlignment="1" applyBorder="1" applyFont="1">
      <alignment horizontal="left" vertical="bottom"/>
    </xf>
    <xf borderId="10" fillId="3" fontId="5" numFmtId="0" xfId="0" applyAlignment="1" applyBorder="1" applyFont="1">
      <alignment horizontal="left" vertical="bottom"/>
    </xf>
    <xf borderId="11" fillId="0" fontId="5" numFmtId="0" xfId="0" applyAlignment="1" applyBorder="1" applyFont="1">
      <alignment horizontal="left" readingOrder="0" vertical="bottom"/>
    </xf>
    <xf borderId="12" fillId="3" fontId="5" numFmtId="0" xfId="0" applyAlignment="1" applyBorder="1" applyFont="1">
      <alignment horizontal="left" vertical="bottom"/>
    </xf>
    <xf borderId="12" fillId="0" fontId="5" numFmtId="0" xfId="0" applyAlignment="1" applyBorder="1" applyFont="1">
      <alignment horizontal="left" vertical="bottom"/>
    </xf>
    <xf borderId="13" fillId="0" fontId="5" numFmtId="0" xfId="0" applyAlignment="1" applyBorder="1" applyFont="1">
      <alignment horizontal="left" vertical="bottom"/>
    </xf>
    <xf borderId="8" fillId="0" fontId="1" numFmtId="0" xfId="0" applyAlignment="1" applyBorder="1" applyFont="1">
      <alignment horizontal="left"/>
    </xf>
    <xf borderId="14" fillId="3" fontId="5" numFmtId="0" xfId="0" applyAlignment="1" applyBorder="1" applyFont="1">
      <alignment horizontal="left" vertical="bottom"/>
    </xf>
    <xf borderId="15" fillId="0" fontId="5" numFmtId="0" xfId="0" applyAlignment="1" applyBorder="1" applyFont="1">
      <alignment horizontal="left" readingOrder="0" vertical="bottom"/>
    </xf>
    <xf borderId="16" fillId="3" fontId="5" numFmtId="0" xfId="0" applyAlignment="1" applyBorder="1" applyFont="1">
      <alignment horizontal="left" vertical="bottom"/>
    </xf>
    <xf borderId="17" fillId="0" fontId="5" numFmtId="0" xfId="0" applyAlignment="1" applyBorder="1" applyFont="1">
      <alignment horizontal="left" vertical="bottom"/>
    </xf>
    <xf borderId="7" fillId="0" fontId="5" numFmtId="0" xfId="0" applyAlignment="1" applyBorder="1" applyFont="1">
      <alignment horizontal="left" vertical="bottom"/>
    </xf>
    <xf borderId="18" fillId="0" fontId="5" numFmtId="0" xfId="0" applyAlignment="1" applyBorder="1" applyFont="1">
      <alignment horizontal="left" vertical="bottom"/>
    </xf>
    <xf borderId="19" fillId="3" fontId="5" numFmtId="0" xfId="0" applyAlignment="1" applyBorder="1" applyFont="1">
      <alignment horizontal="left" vertical="bottom"/>
    </xf>
    <xf borderId="16" fillId="3" fontId="5" numFmtId="0" xfId="0" applyAlignment="1" applyBorder="1" applyFont="1">
      <alignment horizontal="left" vertical="bottom"/>
    </xf>
    <xf borderId="7" fillId="3" fontId="5" numFmtId="0" xfId="0" applyAlignment="1" applyBorder="1" applyFont="1">
      <alignment horizontal="left" vertical="bottom"/>
    </xf>
    <xf borderId="15" fillId="0" fontId="5" numFmtId="0" xfId="0" applyAlignment="1" applyBorder="1" applyFont="1">
      <alignment horizontal="left" vertical="bottom"/>
    </xf>
    <xf borderId="20" fillId="0" fontId="5" numFmtId="0" xfId="0" applyAlignment="1" applyBorder="1" applyFont="1">
      <alignment horizontal="left" vertical="bottom"/>
    </xf>
    <xf borderId="0" fillId="0" fontId="1" numFmtId="165" xfId="0" applyAlignment="1" applyFont="1" applyNumberFormat="1">
      <alignment horizontal="left"/>
    </xf>
    <xf borderId="0" fillId="0" fontId="5" numFmtId="0" xfId="0" applyAlignment="1" applyFont="1">
      <alignment horizontal="left" vertical="bottom"/>
    </xf>
    <xf borderId="0" fillId="0" fontId="10" numFmtId="0" xfId="0" applyAlignment="1" applyFont="1">
      <alignment horizontal="left"/>
    </xf>
    <xf borderId="2" fillId="0" fontId="5" numFmtId="0" xfId="0" applyAlignment="1" applyBorder="1" applyFont="1">
      <alignment readingOrder="0" vertical="bottom"/>
    </xf>
    <xf borderId="7" fillId="0" fontId="5" numFmtId="0" xfId="0" applyAlignment="1" applyBorder="1" applyFont="1">
      <alignment vertical="bottom"/>
    </xf>
    <xf borderId="8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right" readingOrder="0" vertical="bottom"/>
    </xf>
    <xf borderId="9" fillId="3" fontId="5" numFmtId="0" xfId="0" applyAlignment="1" applyBorder="1" applyFont="1">
      <alignment vertical="bottom"/>
    </xf>
    <xf borderId="0" fillId="0" fontId="1" numFmtId="0" xfId="0" applyAlignment="1" applyFont="1">
      <alignment horizontal="left" readingOrder="0"/>
    </xf>
    <xf borderId="0" fillId="0" fontId="8" numFmtId="0" xfId="0" applyAlignment="1" applyFont="1">
      <alignment readingOrder="0"/>
    </xf>
    <xf borderId="0" fillId="0" fontId="10" numFmtId="0" xfId="0" applyAlignment="1" applyFont="1">
      <alignment horizontal="left" readingOrder="0"/>
    </xf>
    <xf borderId="0" fillId="0" fontId="1" numFmtId="164" xfId="0" applyAlignment="1" applyFont="1" applyNumberFormat="1">
      <alignment horizontal="left" readingOrder="0"/>
    </xf>
    <xf borderId="4" fillId="0" fontId="1" numFmtId="164" xfId="0" applyAlignment="1" applyBorder="1" applyFont="1" applyNumberFormat="1">
      <alignment horizontal="left" readingOrder="0"/>
    </xf>
    <xf borderId="0" fillId="0" fontId="1" numFmtId="0" xfId="0" applyFont="1"/>
    <xf borderId="0" fillId="0" fontId="8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75"/>
  <cols>
    <col customWidth="1" min="1" max="1" width="7.75"/>
    <col customWidth="1" min="2" max="2" width="5.13"/>
    <col customWidth="1" min="6" max="6" width="54.38"/>
  </cols>
  <sheetData>
    <row r="1" ht="46.5" customHeight="1">
      <c r="A1" s="1"/>
      <c r="B1" s="2" t="s">
        <v>0</v>
      </c>
      <c r="G1" s="1"/>
      <c r="H1" s="3"/>
      <c r="I1" s="4"/>
      <c r="J1" s="3"/>
      <c r="K1" s="3"/>
    </row>
    <row r="2">
      <c r="A2" s="1"/>
      <c r="B2" s="1" t="s">
        <v>1</v>
      </c>
      <c r="C2" s="1" t="s">
        <v>2</v>
      </c>
      <c r="D2" s="1" t="s">
        <v>3</v>
      </c>
      <c r="E2" s="3" t="s">
        <v>4</v>
      </c>
      <c r="F2" s="1" t="s">
        <v>5</v>
      </c>
      <c r="G2" s="1"/>
      <c r="H2" s="3"/>
      <c r="I2" s="4"/>
      <c r="J2" s="3"/>
      <c r="K2" s="3"/>
    </row>
    <row r="3">
      <c r="A3" s="5" t="s">
        <v>6</v>
      </c>
      <c r="B3" s="3">
        <v>1.0</v>
      </c>
      <c r="C3" s="1" t="s">
        <v>7</v>
      </c>
      <c r="D3" s="1" t="s">
        <v>8</v>
      </c>
      <c r="E3" s="3">
        <v>63.0</v>
      </c>
      <c r="F3" s="1" t="s">
        <v>9</v>
      </c>
      <c r="G3" s="3"/>
      <c r="H3" s="3"/>
      <c r="I3" s="3"/>
      <c r="J3" s="3"/>
      <c r="K3" s="6"/>
    </row>
    <row r="4">
      <c r="B4" s="3">
        <v>2.0</v>
      </c>
      <c r="C4" s="1" t="s">
        <v>10</v>
      </c>
      <c r="D4" s="1" t="s">
        <v>11</v>
      </c>
      <c r="E4" s="3">
        <v>98.0</v>
      </c>
      <c r="F4" s="1" t="s">
        <v>12</v>
      </c>
      <c r="G4" s="3"/>
      <c r="H4" s="3"/>
      <c r="I4" s="3"/>
      <c r="J4" s="3"/>
      <c r="K4" s="6"/>
    </row>
    <row r="5">
      <c r="B5" s="3">
        <v>3.0</v>
      </c>
      <c r="C5" s="1" t="s">
        <v>13</v>
      </c>
      <c r="D5" s="1" t="s">
        <v>14</v>
      </c>
      <c r="E5" s="3">
        <v>64.0</v>
      </c>
      <c r="F5" s="3" t="s">
        <v>15</v>
      </c>
      <c r="G5" s="3"/>
      <c r="H5" s="3"/>
      <c r="I5" s="3"/>
      <c r="J5" s="3"/>
      <c r="K5" s="6"/>
    </row>
    <row r="6">
      <c r="B6" s="3">
        <v>4.0</v>
      </c>
      <c r="C6" s="1" t="s">
        <v>16</v>
      </c>
      <c r="D6" s="1" t="s">
        <v>17</v>
      </c>
      <c r="E6" s="3" t="s">
        <v>18</v>
      </c>
      <c r="F6" s="3" t="s">
        <v>19</v>
      </c>
      <c r="G6" s="3"/>
      <c r="H6" s="3"/>
      <c r="I6" s="3"/>
      <c r="J6" s="3"/>
      <c r="K6" s="6"/>
    </row>
    <row r="7">
      <c r="B7" s="3">
        <v>5.0</v>
      </c>
      <c r="C7" s="1" t="s">
        <v>20</v>
      </c>
      <c r="D7" s="1" t="s">
        <v>21</v>
      </c>
      <c r="E7" s="3">
        <v>37.0</v>
      </c>
      <c r="F7" s="1" t="s">
        <v>22</v>
      </c>
      <c r="G7" s="3"/>
      <c r="H7" s="3"/>
      <c r="I7" s="3"/>
      <c r="J7" s="3"/>
      <c r="K7" s="6"/>
    </row>
    <row r="8">
      <c r="B8" s="3">
        <v>6.0</v>
      </c>
      <c r="C8" s="1" t="s">
        <v>23</v>
      </c>
      <c r="D8" s="1" t="s">
        <v>24</v>
      </c>
      <c r="E8" s="3" t="s">
        <v>25</v>
      </c>
      <c r="F8" s="1" t="s">
        <v>26</v>
      </c>
      <c r="G8" s="3"/>
      <c r="H8" s="3"/>
      <c r="I8" s="3"/>
      <c r="J8" s="3"/>
      <c r="K8" s="6"/>
    </row>
    <row r="9">
      <c r="B9" s="3">
        <v>7.0</v>
      </c>
      <c r="C9" s="1" t="s">
        <v>27</v>
      </c>
      <c r="D9" s="1" t="s">
        <v>21</v>
      </c>
      <c r="E9" s="3">
        <v>39.0</v>
      </c>
      <c r="F9" s="1" t="s">
        <v>28</v>
      </c>
      <c r="G9" s="3"/>
      <c r="H9" s="3"/>
      <c r="I9" s="3"/>
      <c r="J9" s="3"/>
      <c r="K9" s="6"/>
    </row>
    <row r="10">
      <c r="B10" s="3">
        <v>8.0</v>
      </c>
      <c r="C10" s="7" t="s">
        <v>29</v>
      </c>
      <c r="D10" s="7" t="s">
        <v>30</v>
      </c>
      <c r="E10" s="3">
        <v>72.0</v>
      </c>
      <c r="F10" s="7" t="s">
        <v>31</v>
      </c>
      <c r="G10" s="3"/>
      <c r="H10" s="3"/>
      <c r="I10" s="3"/>
      <c r="J10" s="3"/>
      <c r="K10" s="6"/>
    </row>
    <row r="11">
      <c r="B11" s="3">
        <v>9.0</v>
      </c>
      <c r="C11" s="7" t="s">
        <v>32</v>
      </c>
      <c r="D11" s="7" t="s">
        <v>33</v>
      </c>
      <c r="E11" s="3">
        <v>85.0</v>
      </c>
      <c r="F11" s="7" t="s">
        <v>34</v>
      </c>
      <c r="G11" s="3"/>
      <c r="H11" s="3"/>
      <c r="I11" s="3"/>
      <c r="J11" s="3"/>
      <c r="K11" s="6"/>
    </row>
    <row r="12">
      <c r="B12" s="3">
        <v>10.0</v>
      </c>
      <c r="C12" s="7" t="s">
        <v>35</v>
      </c>
      <c r="D12" s="7" t="s">
        <v>36</v>
      </c>
      <c r="E12" s="3">
        <v>59.0</v>
      </c>
      <c r="F12" s="7" t="s">
        <v>37</v>
      </c>
      <c r="G12" s="3"/>
      <c r="H12" s="3"/>
      <c r="I12" s="3"/>
      <c r="J12" s="3"/>
      <c r="K12" s="6"/>
    </row>
    <row r="13" hidden="1">
      <c r="B13" s="3">
        <v>11.0</v>
      </c>
      <c r="C13" s="1"/>
      <c r="D13" s="1"/>
      <c r="E13" s="3"/>
      <c r="F13" s="1"/>
      <c r="G13" s="3"/>
      <c r="H13" s="3"/>
      <c r="I13" s="3"/>
      <c r="J13" s="3"/>
      <c r="K13" s="6"/>
    </row>
    <row r="14" hidden="1">
      <c r="B14" s="3">
        <v>12.0</v>
      </c>
      <c r="C14" s="1"/>
      <c r="D14" s="1"/>
      <c r="E14" s="3"/>
      <c r="F14" s="1"/>
      <c r="G14" s="3"/>
      <c r="H14" s="3"/>
      <c r="I14" s="3"/>
      <c r="J14" s="3"/>
      <c r="K14" s="6"/>
    </row>
    <row r="15" hidden="1">
      <c r="B15" s="3">
        <v>13.0</v>
      </c>
      <c r="C15" s="1"/>
      <c r="D15" s="1"/>
      <c r="E15" s="3"/>
      <c r="F15" s="1"/>
      <c r="G15" s="3"/>
      <c r="H15" s="3"/>
      <c r="I15" s="3"/>
      <c r="J15" s="3"/>
      <c r="K15" s="3"/>
    </row>
    <row r="16" hidden="1">
      <c r="B16" s="3">
        <v>14.0</v>
      </c>
      <c r="C16" s="1"/>
      <c r="D16" s="1"/>
      <c r="E16" s="3"/>
      <c r="F16" s="1"/>
      <c r="G16" s="3"/>
      <c r="H16" s="3"/>
      <c r="I16" s="3"/>
      <c r="J16" s="3"/>
      <c r="K16" s="3"/>
    </row>
    <row r="17" hidden="1">
      <c r="B17" s="3">
        <v>15.0</v>
      </c>
      <c r="C17" s="7"/>
      <c r="D17" s="7"/>
      <c r="E17" s="3"/>
      <c r="F17" s="7"/>
      <c r="G17" s="3"/>
      <c r="H17" s="3"/>
      <c r="I17" s="3"/>
      <c r="J17" s="3"/>
      <c r="K17" s="6"/>
    </row>
    <row r="18" hidden="1">
      <c r="B18" s="3">
        <v>16.0</v>
      </c>
      <c r="C18" s="7"/>
      <c r="D18" s="7"/>
      <c r="E18" s="3"/>
      <c r="F18" s="7"/>
      <c r="G18" s="3"/>
      <c r="H18" s="3"/>
      <c r="I18" s="3"/>
      <c r="J18" s="3"/>
      <c r="K18" s="6"/>
    </row>
    <row r="19" hidden="1">
      <c r="B19" s="3">
        <v>17.0</v>
      </c>
      <c r="C19" s="7"/>
      <c r="D19" s="7"/>
      <c r="E19" s="3"/>
      <c r="F19" s="7"/>
      <c r="G19" s="3"/>
      <c r="H19" s="3"/>
      <c r="I19" s="3"/>
      <c r="J19" s="3"/>
      <c r="K19" s="6"/>
    </row>
    <row r="20" hidden="1">
      <c r="B20" s="3">
        <v>18.0</v>
      </c>
      <c r="C20" s="1"/>
      <c r="D20" s="1"/>
      <c r="E20" s="3"/>
      <c r="F20" s="1"/>
      <c r="G20" s="3"/>
      <c r="H20" s="3"/>
      <c r="I20" s="3"/>
      <c r="J20" s="3"/>
      <c r="K20" s="6"/>
    </row>
    <row r="21" hidden="1">
      <c r="B21" s="3">
        <v>19.0</v>
      </c>
      <c r="C21" s="7"/>
      <c r="D21" s="7"/>
      <c r="E21" s="3"/>
      <c r="F21" s="7"/>
      <c r="G21" s="1" t="s">
        <v>38</v>
      </c>
      <c r="H21" s="6"/>
      <c r="I21" s="6"/>
      <c r="J21" s="6"/>
      <c r="K21" s="6"/>
    </row>
    <row r="22" hidden="1">
      <c r="B22" s="3">
        <v>20.0</v>
      </c>
      <c r="C22" s="3"/>
      <c r="D22" s="1"/>
      <c r="E22" s="1"/>
      <c r="F22" s="1"/>
      <c r="G22" s="1" t="s">
        <v>38</v>
      </c>
      <c r="H22" s="6"/>
      <c r="I22" s="6"/>
      <c r="J22" s="6"/>
      <c r="K22" s="6"/>
    </row>
    <row r="23" hidden="1">
      <c r="B23" s="3">
        <v>21.0</v>
      </c>
      <c r="I23" s="6"/>
      <c r="J23" s="6"/>
      <c r="K23" s="6"/>
    </row>
    <row r="24" hidden="1">
      <c r="B24" s="3">
        <v>22.0</v>
      </c>
      <c r="I24" s="6"/>
      <c r="J24" s="6"/>
      <c r="K24" s="6"/>
    </row>
    <row r="25" hidden="1">
      <c r="B25" s="3">
        <v>23.0</v>
      </c>
      <c r="G25" s="6"/>
      <c r="H25" s="6"/>
      <c r="I25" s="6"/>
      <c r="J25" s="6"/>
      <c r="K25" s="6"/>
    </row>
    <row r="26" hidden="1">
      <c r="B26" s="3">
        <v>24.0</v>
      </c>
      <c r="G26" s="6"/>
      <c r="H26" s="6"/>
      <c r="I26" s="6"/>
      <c r="J26" s="6"/>
      <c r="K26" s="6"/>
    </row>
    <row r="27">
      <c r="G27" s="6"/>
      <c r="H27" s="6"/>
      <c r="I27" s="6"/>
      <c r="J27" s="6"/>
      <c r="K27" s="6"/>
    </row>
    <row r="28">
      <c r="G28" s="6"/>
      <c r="H28" s="6"/>
      <c r="I28" s="6"/>
      <c r="J28" s="6"/>
      <c r="K28" s="6"/>
    </row>
    <row r="29">
      <c r="G29" s="6"/>
      <c r="H29" s="6"/>
      <c r="I29" s="6"/>
      <c r="J29" s="6"/>
      <c r="K29" s="6"/>
    </row>
    <row r="30">
      <c r="G30" s="6"/>
      <c r="H30" s="6"/>
      <c r="I30" s="6"/>
      <c r="J30" s="6"/>
      <c r="K30" s="6"/>
    </row>
    <row r="31">
      <c r="G31" s="6"/>
      <c r="H31" s="6"/>
      <c r="I31" s="6"/>
      <c r="J31" s="6"/>
      <c r="K31" s="6"/>
    </row>
    <row r="32">
      <c r="A32" s="5" t="s">
        <v>39</v>
      </c>
      <c r="B32" s="3">
        <v>1.0</v>
      </c>
      <c r="C32" s="1" t="s">
        <v>23</v>
      </c>
      <c r="D32" s="1" t="s">
        <v>24</v>
      </c>
      <c r="E32" s="3" t="s">
        <v>25</v>
      </c>
      <c r="F32" s="1" t="s">
        <v>26</v>
      </c>
      <c r="G32" s="6"/>
      <c r="H32" s="6"/>
      <c r="I32" s="6"/>
      <c r="J32" s="6"/>
      <c r="K32" s="6"/>
    </row>
    <row r="33">
      <c r="B33" s="3">
        <v>2.0</v>
      </c>
      <c r="C33" s="1" t="s">
        <v>27</v>
      </c>
      <c r="D33" s="1" t="s">
        <v>21</v>
      </c>
      <c r="E33" s="3">
        <v>39.0</v>
      </c>
      <c r="F33" s="1" t="s">
        <v>28</v>
      </c>
      <c r="G33" s="6"/>
      <c r="H33" s="6"/>
      <c r="I33" s="6"/>
      <c r="J33" s="6"/>
      <c r="K33" s="6"/>
    </row>
    <row r="34">
      <c r="B34" s="3">
        <v>3.0</v>
      </c>
      <c r="C34" s="7" t="s">
        <v>29</v>
      </c>
      <c r="D34" s="7" t="s">
        <v>30</v>
      </c>
      <c r="E34" s="3">
        <v>72.0</v>
      </c>
      <c r="F34" s="7" t="s">
        <v>31</v>
      </c>
      <c r="G34" s="6"/>
      <c r="H34" s="6"/>
      <c r="I34" s="6"/>
      <c r="J34" s="6"/>
      <c r="K34" s="6"/>
    </row>
    <row r="35">
      <c r="B35" s="3">
        <v>4.0</v>
      </c>
      <c r="C35" s="7" t="s">
        <v>32</v>
      </c>
      <c r="D35" s="7" t="s">
        <v>33</v>
      </c>
      <c r="E35" s="3">
        <v>85.0</v>
      </c>
      <c r="F35" s="7" t="s">
        <v>34</v>
      </c>
      <c r="G35" s="6"/>
      <c r="H35" s="6"/>
      <c r="I35" s="6"/>
      <c r="J35" s="6"/>
      <c r="K35" s="6"/>
    </row>
    <row r="36">
      <c r="B36" s="3">
        <v>5.0</v>
      </c>
      <c r="C36" s="7" t="s">
        <v>35</v>
      </c>
      <c r="D36" s="7" t="s">
        <v>36</v>
      </c>
      <c r="E36" s="3">
        <v>59.0</v>
      </c>
      <c r="F36" s="7" t="s">
        <v>37</v>
      </c>
      <c r="G36" s="6"/>
      <c r="H36" s="6"/>
      <c r="I36" s="6"/>
      <c r="J36" s="6"/>
      <c r="K36" s="6"/>
    </row>
    <row r="37">
      <c r="B37" s="3">
        <v>6.0</v>
      </c>
      <c r="C37" s="1" t="s">
        <v>7</v>
      </c>
      <c r="D37" s="1" t="s">
        <v>8</v>
      </c>
      <c r="E37" s="3">
        <v>63.0</v>
      </c>
      <c r="F37" s="1" t="s">
        <v>9</v>
      </c>
      <c r="G37" s="6"/>
      <c r="H37" s="6"/>
      <c r="I37" s="6"/>
      <c r="J37" s="6"/>
      <c r="K37" s="6"/>
    </row>
    <row r="38">
      <c r="B38" s="3">
        <v>7.0</v>
      </c>
      <c r="C38" s="1" t="s">
        <v>10</v>
      </c>
      <c r="D38" s="1" t="s">
        <v>11</v>
      </c>
      <c r="E38" s="3">
        <v>98.0</v>
      </c>
      <c r="F38" s="1" t="s">
        <v>12</v>
      </c>
      <c r="G38" s="6"/>
      <c r="H38" s="6"/>
      <c r="I38" s="6"/>
      <c r="J38" s="6"/>
      <c r="K38" s="6"/>
    </row>
    <row r="39">
      <c r="B39" s="3">
        <v>8.0</v>
      </c>
      <c r="C39" s="1" t="s">
        <v>13</v>
      </c>
      <c r="D39" s="1" t="s">
        <v>14</v>
      </c>
      <c r="E39" s="3">
        <v>64.0</v>
      </c>
      <c r="F39" s="3" t="s">
        <v>15</v>
      </c>
      <c r="G39" s="6"/>
      <c r="H39" s="6"/>
      <c r="I39" s="6"/>
      <c r="J39" s="6"/>
      <c r="K39" s="6"/>
    </row>
    <row r="40">
      <c r="B40" s="3">
        <v>9.0</v>
      </c>
      <c r="C40" s="1" t="s">
        <v>16</v>
      </c>
      <c r="D40" s="1" t="s">
        <v>17</v>
      </c>
      <c r="E40" s="3" t="s">
        <v>18</v>
      </c>
      <c r="F40" s="3" t="s">
        <v>19</v>
      </c>
      <c r="G40" s="6"/>
      <c r="H40" s="6"/>
      <c r="I40" s="6"/>
      <c r="J40" s="6"/>
      <c r="K40" s="6"/>
    </row>
    <row r="41">
      <c r="B41" s="3">
        <v>10.0</v>
      </c>
      <c r="C41" s="1" t="s">
        <v>20</v>
      </c>
      <c r="D41" s="1" t="s">
        <v>21</v>
      </c>
      <c r="E41" s="3">
        <v>37.0</v>
      </c>
      <c r="F41" s="1" t="s">
        <v>22</v>
      </c>
      <c r="G41" s="6"/>
      <c r="H41" s="6"/>
      <c r="I41" s="6"/>
      <c r="J41" s="6"/>
      <c r="K41" s="6"/>
    </row>
    <row r="42" hidden="1">
      <c r="B42" s="3">
        <v>11.0</v>
      </c>
      <c r="C42" s="1"/>
      <c r="D42" s="1"/>
      <c r="E42" s="3"/>
      <c r="F42" s="1"/>
    </row>
    <row r="43" hidden="1">
      <c r="B43" s="3">
        <v>12.0</v>
      </c>
      <c r="C43" s="1"/>
      <c r="D43" s="1"/>
      <c r="E43" s="3"/>
      <c r="F43" s="3"/>
    </row>
    <row r="44" hidden="1">
      <c r="B44" s="3">
        <v>13.0</v>
      </c>
      <c r="C44" s="1"/>
      <c r="D44" s="1"/>
      <c r="E44" s="3"/>
      <c r="F44" s="3"/>
    </row>
    <row r="45" hidden="1">
      <c r="B45" s="3">
        <v>14.0</v>
      </c>
      <c r="C45" s="1"/>
      <c r="D45" s="1"/>
      <c r="E45" s="3"/>
      <c r="F45" s="1"/>
    </row>
    <row r="46" hidden="1">
      <c r="B46" s="3">
        <v>15.0</v>
      </c>
      <c r="C46" s="1"/>
      <c r="D46" s="1"/>
      <c r="E46" s="3"/>
      <c r="F46" s="1"/>
    </row>
    <row r="47" hidden="1">
      <c r="B47" s="3">
        <v>16.0</v>
      </c>
      <c r="C47" s="1"/>
      <c r="D47" s="1"/>
      <c r="E47" s="3"/>
      <c r="F47" s="1"/>
    </row>
    <row r="48" hidden="1">
      <c r="B48" s="3">
        <v>17.0</v>
      </c>
      <c r="C48" s="1"/>
      <c r="D48" s="1"/>
      <c r="E48" s="3"/>
      <c r="F48" s="1"/>
    </row>
    <row r="49" hidden="1">
      <c r="B49" s="3">
        <v>18.0</v>
      </c>
      <c r="C49" s="1"/>
      <c r="D49" s="1"/>
      <c r="E49" s="3"/>
      <c r="F49" s="1"/>
    </row>
    <row r="50" hidden="1">
      <c r="B50" s="3">
        <v>19.0</v>
      </c>
      <c r="C50" s="1"/>
      <c r="D50" s="1"/>
      <c r="E50" s="3"/>
      <c r="F50" s="1"/>
    </row>
    <row r="51" hidden="1">
      <c r="B51" s="3">
        <v>20.0</v>
      </c>
    </row>
    <row r="52" hidden="1">
      <c r="B52" s="3">
        <v>21.0</v>
      </c>
    </row>
    <row r="53" hidden="1">
      <c r="B53" s="3">
        <v>22.0</v>
      </c>
    </row>
    <row r="54" hidden="1">
      <c r="B54" s="3">
        <v>23.0</v>
      </c>
    </row>
    <row r="55" hidden="1">
      <c r="B55" s="3">
        <v>24.0</v>
      </c>
    </row>
  </sheetData>
  <mergeCells count="3">
    <mergeCell ref="B1:F1"/>
    <mergeCell ref="A3:A26"/>
    <mergeCell ref="A32:A55"/>
  </mergeCells>
  <printOptions/>
  <pageMargins bottom="0.75" footer="0.0" header="0.0" left="0.7" right="0.7" top="0.75"/>
  <pageSetup fitToHeight="0" paperSize="9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5"/>
    <col customWidth="1" hidden="1" min="2" max="2" width="57.63"/>
    <col customWidth="1" min="3" max="3" width="15.38"/>
    <col customWidth="1" min="4" max="4" width="19.0"/>
    <col hidden="1" min="5" max="12" width="12.63"/>
    <col customWidth="1" min="13" max="13" width="40.25"/>
  </cols>
  <sheetData>
    <row r="1" ht="51.0" customHeight="1">
      <c r="A1" s="2" t="s">
        <v>206</v>
      </c>
    </row>
    <row r="2">
      <c r="B2" s="8" t="s">
        <v>207</v>
      </c>
      <c r="C2" s="71" t="s">
        <v>207</v>
      </c>
    </row>
    <row r="3">
      <c r="A3" s="19">
        <v>1.0</v>
      </c>
      <c r="B3" s="8" t="s">
        <v>208</v>
      </c>
      <c r="C3" s="75" t="str">
        <f>IFERROR(__xludf.DUMMYFUNCTION("SPLIT(B3,"" "")"),"Antonina")</f>
        <v>Antonina</v>
      </c>
      <c r="D3" s="75" t="str">
        <f>IFERROR(__xludf.DUMMYFUNCTION("""COMPUTED_VALUE"""),"Tarczoń")</f>
        <v>Tarczoń</v>
      </c>
      <c r="E3" s="75" t="str">
        <f>IFERROR(__xludf.DUMMYFUNCTION("""COMPUTED_VALUE"""),"Klub")</f>
        <v>Klub</v>
      </c>
      <c r="F3" s="75" t="str">
        <f>IFERROR(__xludf.DUMMYFUNCTION("""COMPUTED_VALUE"""),"Sportowy")</f>
        <v>Sportowy</v>
      </c>
      <c r="G3" s="75" t="str">
        <f>IFERROR(__xludf.DUMMYFUNCTION("""COMPUTED_VALUE"""),"Sportiva")</f>
        <v>Sportiva</v>
      </c>
      <c r="H3" s="75" t="str">
        <f>IFERROR(__xludf.DUMMYFUNCTION("""COMPUTED_VALUE"""),"Tarnów")</f>
        <v>Tarnów</v>
      </c>
      <c r="M3" s="75" t="str">
        <f t="shared" ref="M3:M26" si="1">JOIN(" ",E3:L3)</f>
        <v>Klub Sportowy Sportiva Tarnów    </v>
      </c>
    </row>
    <row r="4">
      <c r="A4" s="19">
        <v>2.0</v>
      </c>
      <c r="B4" s="8" t="s">
        <v>209</v>
      </c>
      <c r="C4" s="75" t="str">
        <f>IFERROR(__xludf.DUMMYFUNCTION("SPLIT(B4,"" "")"),"Zuzanna")</f>
        <v>Zuzanna</v>
      </c>
      <c r="D4" s="75" t="str">
        <f>IFERROR(__xludf.DUMMYFUNCTION("""COMPUTED_VALUE"""),"Luby")</f>
        <v>Luby</v>
      </c>
      <c r="E4" s="75" t="str">
        <f>IFERROR(__xludf.DUMMYFUNCTION("""COMPUTED_VALUE"""),"Klub")</f>
        <v>Klub</v>
      </c>
      <c r="F4" s="75" t="str">
        <f>IFERROR(__xludf.DUMMYFUNCTION("""COMPUTED_VALUE"""),"Sportowy")</f>
        <v>Sportowy</v>
      </c>
      <c r="G4" s="75" t="str">
        <f>IFERROR(__xludf.DUMMYFUNCTION("""COMPUTED_VALUE"""),"MOVE!")</f>
        <v>MOVE!</v>
      </c>
      <c r="H4" s="75" t="str">
        <f>IFERROR(__xludf.DUMMYFUNCTION("""COMPUTED_VALUE"""),"Avatar")</f>
        <v>Avatar</v>
      </c>
      <c r="M4" s="75" t="str">
        <f t="shared" si="1"/>
        <v>Klub Sportowy MOVE! Avatar    </v>
      </c>
    </row>
    <row r="5">
      <c r="A5" s="19">
        <v>3.0</v>
      </c>
      <c r="B5" s="8" t="s">
        <v>210</v>
      </c>
      <c r="C5" s="75" t="str">
        <f>IFERROR(__xludf.DUMMYFUNCTION("SPLIT(B5,"" "")"),"Zofia")</f>
        <v>Zofia</v>
      </c>
      <c r="D5" s="75" t="str">
        <f>IFERROR(__xludf.DUMMYFUNCTION("""COMPUTED_VALUE"""),"Dobrzańska")</f>
        <v>Dobrzańska</v>
      </c>
      <c r="E5" s="75" t="str">
        <f>IFERROR(__xludf.DUMMYFUNCTION("""COMPUTED_VALUE"""),"Klub")</f>
        <v>Klub</v>
      </c>
      <c r="F5" s="75" t="str">
        <f>IFERROR(__xludf.DUMMYFUNCTION("""COMPUTED_VALUE"""),"Sportowy")</f>
        <v>Sportowy</v>
      </c>
      <c r="G5" s="75" t="str">
        <f>IFERROR(__xludf.DUMMYFUNCTION("""COMPUTED_VALUE"""),"Skarpa")</f>
        <v>Skarpa</v>
      </c>
      <c r="H5" s="75" t="str">
        <f>IFERROR(__xludf.DUMMYFUNCTION("""COMPUTED_VALUE"""),"Bytom")</f>
        <v>Bytom</v>
      </c>
      <c r="M5" s="75" t="str">
        <f t="shared" si="1"/>
        <v>Klub Sportowy Skarpa Bytom    </v>
      </c>
    </row>
    <row r="6">
      <c r="A6" s="19">
        <v>4.0</v>
      </c>
      <c r="B6" s="8" t="s">
        <v>211</v>
      </c>
      <c r="C6" s="75" t="str">
        <f>IFERROR(__xludf.DUMMYFUNCTION("SPLIT(B6,"" "")"),"Daria")</f>
        <v>Daria</v>
      </c>
      <c r="D6" s="75" t="str">
        <f>IFERROR(__xludf.DUMMYFUNCTION("""COMPUTED_VALUE"""),"Zając")</f>
        <v>Zając</v>
      </c>
      <c r="E6" s="75" t="str">
        <f>IFERROR(__xludf.DUMMYFUNCTION("""COMPUTED_VALUE"""),"Sekcja")</f>
        <v>Sekcja</v>
      </c>
      <c r="F6" s="75" t="str">
        <f>IFERROR(__xludf.DUMMYFUNCTION("""COMPUTED_VALUE"""),"Wspinaczkowa")</f>
        <v>Wspinaczkowa</v>
      </c>
      <c r="G6" s="75" t="str">
        <f>IFERROR(__xludf.DUMMYFUNCTION("""COMPUTED_VALUE"""),"KS")</f>
        <v>KS</v>
      </c>
      <c r="H6" s="75" t="str">
        <f>IFERROR(__xludf.DUMMYFUNCTION("""COMPUTED_VALUE"""),"""Korona""")</f>
        <v>"Korona"</v>
      </c>
      <c r="M6" s="75" t="str">
        <f t="shared" si="1"/>
        <v>Sekcja Wspinaczkowa KS "Korona"    </v>
      </c>
    </row>
    <row r="7">
      <c r="A7" s="19">
        <v>5.0</v>
      </c>
      <c r="B7" s="8" t="s">
        <v>212</v>
      </c>
      <c r="C7" s="75" t="str">
        <f>IFERROR(__xludf.DUMMYFUNCTION("SPLIT(B7,"" "")"),"Aleksandra")</f>
        <v>Aleksandra</v>
      </c>
      <c r="D7" s="75" t="str">
        <f>IFERROR(__xludf.DUMMYFUNCTION("""COMPUTED_VALUE"""),"Kopcińska")</f>
        <v>Kopcińska</v>
      </c>
      <c r="E7" s="75" t="str">
        <f>IFERROR(__xludf.DUMMYFUNCTION("""COMPUTED_VALUE"""),"Klub")</f>
        <v>Klub</v>
      </c>
      <c r="F7" s="75" t="str">
        <f>IFERROR(__xludf.DUMMYFUNCTION("""COMPUTED_VALUE"""),"Sportowy")</f>
        <v>Sportowy</v>
      </c>
      <c r="G7" s="75" t="str">
        <f>IFERROR(__xludf.DUMMYFUNCTION("""COMPUTED_VALUE"""),"MOVE!")</f>
        <v>MOVE!</v>
      </c>
      <c r="H7" s="75" t="str">
        <f>IFERROR(__xludf.DUMMYFUNCTION("""COMPUTED_VALUE"""),"Avatar")</f>
        <v>Avatar</v>
      </c>
      <c r="M7" s="75" t="str">
        <f t="shared" si="1"/>
        <v>Klub Sportowy MOVE! Avatar    </v>
      </c>
    </row>
    <row r="8">
      <c r="A8" s="19">
        <v>6.0</v>
      </c>
      <c r="B8" s="8" t="s">
        <v>213</v>
      </c>
      <c r="C8" s="75" t="str">
        <f>IFERROR(__xludf.DUMMYFUNCTION("SPLIT(B8,"" "")"),"Zuzanna")</f>
        <v>Zuzanna</v>
      </c>
      <c r="D8" s="75" t="str">
        <f>IFERROR(__xludf.DUMMYFUNCTION("""COMPUTED_VALUE"""),"Płonka")</f>
        <v>Płonka</v>
      </c>
      <c r="E8" s="75" t="str">
        <f>IFERROR(__xludf.DUMMYFUNCTION("""COMPUTED_VALUE"""),"MKS")</f>
        <v>MKS</v>
      </c>
      <c r="F8" s="75" t="str">
        <f>IFERROR(__xludf.DUMMYFUNCTION("""COMPUTED_VALUE"""),"Pałac")</f>
        <v>Pałac</v>
      </c>
      <c r="G8" s="75" t="str">
        <f>IFERROR(__xludf.DUMMYFUNCTION("""COMPUTED_VALUE"""),"Młodzieży")</f>
        <v>Młodzieży</v>
      </c>
      <c r="H8" s="75" t="str">
        <f>IFERROR(__xludf.DUMMYFUNCTION("""COMPUTED_VALUE"""),"w")</f>
        <v>w</v>
      </c>
      <c r="I8" s="75" t="str">
        <f>IFERROR(__xludf.DUMMYFUNCTION("""COMPUTED_VALUE"""),"Tarnowie")</f>
        <v>Tarnowie</v>
      </c>
      <c r="M8" s="75" t="str">
        <f t="shared" si="1"/>
        <v>MKS Pałac Młodzieży w Tarnowie   </v>
      </c>
    </row>
    <row r="9">
      <c r="A9" s="19">
        <v>7.0</v>
      </c>
      <c r="B9" s="8" t="s">
        <v>214</v>
      </c>
      <c r="C9" s="75" t="str">
        <f>IFERROR(__xludf.DUMMYFUNCTION("SPLIT(B9,"" "")"),"Nina")</f>
        <v>Nina</v>
      </c>
      <c r="D9" s="75" t="str">
        <f>IFERROR(__xludf.DUMMYFUNCTION("""COMPUTED_VALUE"""),"Niziołek")</f>
        <v>Niziołek</v>
      </c>
      <c r="E9" s="75" t="str">
        <f>IFERROR(__xludf.DUMMYFUNCTION("""COMPUTED_VALUE"""),"Klub")</f>
        <v>Klub</v>
      </c>
      <c r="F9" s="75" t="str">
        <f>IFERROR(__xludf.DUMMYFUNCTION("""COMPUTED_VALUE"""),"Sportowy")</f>
        <v>Sportowy</v>
      </c>
      <c r="G9" s="75" t="str">
        <f>IFERROR(__xludf.DUMMYFUNCTION("""COMPUTED_VALUE"""),"Skarpa")</f>
        <v>Skarpa</v>
      </c>
      <c r="H9" s="75" t="str">
        <f>IFERROR(__xludf.DUMMYFUNCTION("""COMPUTED_VALUE"""),"Bytom")</f>
        <v>Bytom</v>
      </c>
      <c r="M9" s="75" t="str">
        <f t="shared" si="1"/>
        <v>Klub Sportowy Skarpa Bytom    </v>
      </c>
    </row>
    <row r="10">
      <c r="A10" s="19">
        <v>8.0</v>
      </c>
      <c r="B10" s="8" t="s">
        <v>215</v>
      </c>
      <c r="C10" s="75" t="str">
        <f>IFERROR(__xludf.DUMMYFUNCTION("SPLIT(B10,"" "")"),"Jagoda")</f>
        <v>Jagoda</v>
      </c>
      <c r="D10" s="75" t="str">
        <f>IFERROR(__xludf.DUMMYFUNCTION("""COMPUTED_VALUE"""),"Zalewska")</f>
        <v>Zalewska</v>
      </c>
      <c r="E10" s="75" t="str">
        <f>IFERROR(__xludf.DUMMYFUNCTION("""COMPUTED_VALUE"""),"Klub")</f>
        <v>Klub</v>
      </c>
      <c r="F10" s="75" t="str">
        <f>IFERROR(__xludf.DUMMYFUNCTION("""COMPUTED_VALUE"""),"Wspinaczki")</f>
        <v>Wspinaczki</v>
      </c>
      <c r="G10" s="75" t="str">
        <f>IFERROR(__xludf.DUMMYFUNCTION("""COMPUTED_VALUE"""),"Sportowej")</f>
        <v>Sportowej</v>
      </c>
      <c r="H10" s="75" t="str">
        <f>IFERROR(__xludf.DUMMYFUNCTION("""COMPUTED_VALUE"""),"Klif")</f>
        <v>Klif</v>
      </c>
      <c r="I10" s="75" t="str">
        <f>IFERROR(__xludf.DUMMYFUNCTION("""COMPUTED_VALUE"""),"Tarnowskie")</f>
        <v>Tarnowskie</v>
      </c>
      <c r="J10" s="75" t="str">
        <f>IFERROR(__xludf.DUMMYFUNCTION("""COMPUTED_VALUE"""),"Góry")</f>
        <v>Góry</v>
      </c>
      <c r="M10" s="75" t="str">
        <f t="shared" si="1"/>
        <v>Klub Wspinaczki Sportowej Klif Tarnowskie Góry  </v>
      </c>
    </row>
    <row r="11">
      <c r="A11" s="19">
        <v>9.0</v>
      </c>
      <c r="B11" s="8" t="s">
        <v>216</v>
      </c>
      <c r="C11" s="75" t="str">
        <f>IFERROR(__xludf.DUMMYFUNCTION("SPLIT(B11,"" "")"),"Jagoda")</f>
        <v>Jagoda</v>
      </c>
      <c r="D11" s="75" t="str">
        <f>IFERROR(__xludf.DUMMYFUNCTION("""COMPUTED_VALUE"""),"Podgórni")</f>
        <v>Podgórni</v>
      </c>
      <c r="M11" s="75" t="str">
        <f t="shared" si="1"/>
        <v>       </v>
      </c>
    </row>
    <row r="12">
      <c r="A12" s="19">
        <v>10.0</v>
      </c>
      <c r="B12" s="8" t="s">
        <v>217</v>
      </c>
      <c r="C12" s="75" t="str">
        <f>IFERROR(__xludf.DUMMYFUNCTION("SPLIT(B12,"" "")"),"Pola")</f>
        <v>Pola</v>
      </c>
      <c r="D12" s="75" t="str">
        <f>IFERROR(__xludf.DUMMYFUNCTION("""COMPUTED_VALUE"""),"Dobrowolska")</f>
        <v>Dobrowolska</v>
      </c>
      <c r="E12" s="75" t="str">
        <f>IFERROR(__xludf.DUMMYFUNCTION("""COMPUTED_VALUE"""),"Murall")</f>
        <v>Murall</v>
      </c>
      <c r="F12" s="75" t="str">
        <f>IFERROR(__xludf.DUMMYFUNCTION("""COMPUTED_VALUE"""),"UKA")</f>
        <v>UKA</v>
      </c>
      <c r="M12" s="75" t="str">
        <f t="shared" si="1"/>
        <v>Murall UKA      </v>
      </c>
    </row>
    <row r="13">
      <c r="A13" s="19">
        <v>11.0</v>
      </c>
      <c r="B13" s="8" t="s">
        <v>218</v>
      </c>
      <c r="C13" s="75" t="str">
        <f>IFERROR(__xludf.DUMMYFUNCTION("SPLIT(B13,"" "")"),"Kaja")</f>
        <v>Kaja</v>
      </c>
      <c r="D13" s="75" t="str">
        <f>IFERROR(__xludf.DUMMYFUNCTION("""COMPUTED_VALUE"""),"Świątek")</f>
        <v>Świątek</v>
      </c>
      <c r="E13" s="75" t="str">
        <f>IFERROR(__xludf.DUMMYFUNCTION("""COMPUTED_VALUE"""),"Murall")</f>
        <v>Murall</v>
      </c>
      <c r="F13" s="75" t="str">
        <f>IFERROR(__xludf.DUMMYFUNCTION("""COMPUTED_VALUE"""),"UKA")</f>
        <v>UKA</v>
      </c>
      <c r="M13" s="75" t="str">
        <f t="shared" si="1"/>
        <v>Murall UKA      </v>
      </c>
    </row>
    <row r="14">
      <c r="A14" s="19">
        <v>12.0</v>
      </c>
      <c r="B14" s="8" t="s">
        <v>219</v>
      </c>
      <c r="C14" s="75" t="str">
        <f>IFERROR(__xludf.DUMMYFUNCTION("SPLIT(B14,"" "")"),"Kinga")</f>
        <v>Kinga</v>
      </c>
      <c r="D14" s="75" t="str">
        <f>IFERROR(__xludf.DUMMYFUNCTION("""COMPUTED_VALUE"""),"Ciombor")</f>
        <v>Ciombor</v>
      </c>
      <c r="E14" s="75" t="str">
        <f>IFERROR(__xludf.DUMMYFUNCTION("""COMPUTED_VALUE"""),"Klub")</f>
        <v>Klub</v>
      </c>
      <c r="F14" s="75" t="str">
        <f>IFERROR(__xludf.DUMMYFUNCTION("""COMPUTED_VALUE"""),"Sportowy")</f>
        <v>Sportowy</v>
      </c>
      <c r="G14" s="75" t="str">
        <f>IFERROR(__xludf.DUMMYFUNCTION("""COMPUTED_VALUE"""),"MOVE!")</f>
        <v>MOVE!</v>
      </c>
      <c r="H14" s="75" t="str">
        <f>IFERROR(__xludf.DUMMYFUNCTION("""COMPUTED_VALUE"""),"Avatar")</f>
        <v>Avatar</v>
      </c>
      <c r="M14" s="75" t="str">
        <f t="shared" si="1"/>
        <v>Klub Sportowy MOVE! Avatar    </v>
      </c>
    </row>
    <row r="15">
      <c r="A15" s="19">
        <v>13.0</v>
      </c>
      <c r="B15" s="8" t="s">
        <v>220</v>
      </c>
      <c r="C15" s="75" t="str">
        <f>IFERROR(__xludf.DUMMYFUNCTION("SPLIT(B15,"" "")"),"Amelia")</f>
        <v>Amelia</v>
      </c>
      <c r="D15" s="75" t="str">
        <f>IFERROR(__xludf.DUMMYFUNCTION("""COMPUTED_VALUE"""),"Cesarz")</f>
        <v>Cesarz</v>
      </c>
      <c r="E15" s="75" t="str">
        <f>IFERROR(__xludf.DUMMYFUNCTION("""COMPUTED_VALUE"""),"Klub")</f>
        <v>Klub</v>
      </c>
      <c r="F15" s="75" t="str">
        <f>IFERROR(__xludf.DUMMYFUNCTION("""COMPUTED_VALUE"""),"Sportowy")</f>
        <v>Sportowy</v>
      </c>
      <c r="G15" s="75" t="str">
        <f>IFERROR(__xludf.DUMMYFUNCTION("""COMPUTED_VALUE"""),"Skarpa")</f>
        <v>Skarpa</v>
      </c>
      <c r="H15" s="75" t="str">
        <f>IFERROR(__xludf.DUMMYFUNCTION("""COMPUTED_VALUE"""),"Bytom")</f>
        <v>Bytom</v>
      </c>
      <c r="M15" s="75" t="str">
        <f t="shared" si="1"/>
        <v>Klub Sportowy Skarpa Bytom    </v>
      </c>
    </row>
    <row r="16">
      <c r="A16" s="19">
        <v>14.0</v>
      </c>
      <c r="B16" s="8" t="s">
        <v>221</v>
      </c>
      <c r="C16" s="75" t="str">
        <f>IFERROR(__xludf.DUMMYFUNCTION("SPLIT(B16,"" "")"),"Martyna")</f>
        <v>Martyna</v>
      </c>
      <c r="D16" s="75" t="str">
        <f>IFERROR(__xludf.DUMMYFUNCTION("""COMPUTED_VALUE"""),"Kolanek")</f>
        <v>Kolanek</v>
      </c>
      <c r="E16" s="75" t="str">
        <f>IFERROR(__xludf.DUMMYFUNCTION("""COMPUTED_VALUE"""),"Klub")</f>
        <v>Klub</v>
      </c>
      <c r="F16" s="75" t="str">
        <f>IFERROR(__xludf.DUMMYFUNCTION("""COMPUTED_VALUE"""),"Wspinaczki")</f>
        <v>Wspinaczki</v>
      </c>
      <c r="G16" s="75" t="str">
        <f>IFERROR(__xludf.DUMMYFUNCTION("""COMPUTED_VALUE"""),"Sportowej")</f>
        <v>Sportowej</v>
      </c>
      <c r="H16" s="75" t="str">
        <f>IFERROR(__xludf.DUMMYFUNCTION("""COMPUTED_VALUE"""),"Klif")</f>
        <v>Klif</v>
      </c>
      <c r="I16" s="75" t="str">
        <f>IFERROR(__xludf.DUMMYFUNCTION("""COMPUTED_VALUE"""),"Tarnowskie")</f>
        <v>Tarnowskie</v>
      </c>
      <c r="J16" s="75" t="str">
        <f>IFERROR(__xludf.DUMMYFUNCTION("""COMPUTED_VALUE"""),"Góry")</f>
        <v>Góry</v>
      </c>
      <c r="M16" s="75" t="str">
        <f t="shared" si="1"/>
        <v>Klub Wspinaczki Sportowej Klif Tarnowskie Góry  </v>
      </c>
    </row>
    <row r="17">
      <c r="A17" s="19">
        <v>15.0</v>
      </c>
      <c r="B17" s="8" t="s">
        <v>222</v>
      </c>
      <c r="C17" s="75" t="str">
        <f>IFERROR(__xludf.DUMMYFUNCTION("SPLIT(B17,"" "")"),"Kamila")</f>
        <v>Kamila</v>
      </c>
      <c r="D17" s="75" t="str">
        <f>IFERROR(__xludf.DUMMYFUNCTION("""COMPUTED_VALUE"""),"Kiersztyn")</f>
        <v>Kiersztyn</v>
      </c>
      <c r="M17" s="75" t="str">
        <f t="shared" si="1"/>
        <v>       </v>
      </c>
    </row>
    <row r="18">
      <c r="A18" s="19">
        <v>16.0</v>
      </c>
      <c r="B18" s="8" t="s">
        <v>223</v>
      </c>
      <c r="C18" s="75" t="str">
        <f>IFERROR(__xludf.DUMMYFUNCTION("SPLIT(B18,"" "")"),"Oliwia")</f>
        <v>Oliwia</v>
      </c>
      <c r="D18" s="75" t="str">
        <f>IFERROR(__xludf.DUMMYFUNCTION("""COMPUTED_VALUE"""),"Bombiak-Matuszewska")</f>
        <v>Bombiak-Matuszewska</v>
      </c>
      <c r="E18" s="75" t="str">
        <f>IFERROR(__xludf.DUMMYFUNCTION("""COMPUTED_VALUE"""),"Łódzki")</f>
        <v>Łódzki</v>
      </c>
      <c r="F18" s="75" t="str">
        <f>IFERROR(__xludf.DUMMYFUNCTION("""COMPUTED_VALUE"""),"Klub")</f>
        <v>Klub</v>
      </c>
      <c r="G18" s="75" t="str">
        <f>IFERROR(__xludf.DUMMYFUNCTION("""COMPUTED_VALUE"""),"Wysokogórski")</f>
        <v>Wysokogórski</v>
      </c>
      <c r="M18" s="75" t="str">
        <f t="shared" si="1"/>
        <v>Łódzki Klub Wysokogórski     </v>
      </c>
    </row>
    <row r="19">
      <c r="A19" s="19">
        <v>17.0</v>
      </c>
      <c r="B19" s="8" t="s">
        <v>224</v>
      </c>
      <c r="C19" s="75" t="str">
        <f>IFERROR(__xludf.DUMMYFUNCTION("SPLIT(B19,"" "")"),"Antonina")</f>
        <v>Antonina</v>
      </c>
      <c r="D19" s="75" t="str">
        <f>IFERROR(__xludf.DUMMYFUNCTION("""COMPUTED_VALUE"""),"Świerczek")</f>
        <v>Świerczek</v>
      </c>
      <c r="E19" s="75" t="str">
        <f>IFERROR(__xludf.DUMMYFUNCTION("""COMPUTED_VALUE"""),"Klub")</f>
        <v>Klub</v>
      </c>
      <c r="F19" s="75" t="str">
        <f>IFERROR(__xludf.DUMMYFUNCTION("""COMPUTED_VALUE"""),"Wspinaczki")</f>
        <v>Wspinaczki</v>
      </c>
      <c r="G19" s="75" t="str">
        <f>IFERROR(__xludf.DUMMYFUNCTION("""COMPUTED_VALUE"""),"Sportowej")</f>
        <v>Sportowej</v>
      </c>
      <c r="H19" s="75" t="str">
        <f>IFERROR(__xludf.DUMMYFUNCTION("""COMPUTED_VALUE"""),"Klif")</f>
        <v>Klif</v>
      </c>
      <c r="I19" s="75" t="str">
        <f>IFERROR(__xludf.DUMMYFUNCTION("""COMPUTED_VALUE"""),"Tarnowskie")</f>
        <v>Tarnowskie</v>
      </c>
      <c r="J19" s="75" t="str">
        <f>IFERROR(__xludf.DUMMYFUNCTION("""COMPUTED_VALUE"""),"Góry")</f>
        <v>Góry</v>
      </c>
      <c r="M19" s="75" t="str">
        <f t="shared" si="1"/>
        <v>Klub Wspinaczki Sportowej Klif Tarnowskie Góry  </v>
      </c>
    </row>
    <row r="20">
      <c r="A20" s="19">
        <v>18.0</v>
      </c>
      <c r="B20" s="8" t="s">
        <v>225</v>
      </c>
      <c r="C20" s="75" t="str">
        <f>IFERROR(__xludf.DUMMYFUNCTION("SPLIT(B20,"" "")"),"Amelia")</f>
        <v>Amelia</v>
      </c>
      <c r="D20" s="75" t="str">
        <f>IFERROR(__xludf.DUMMYFUNCTION("""COMPUTED_VALUE"""),"Fent")</f>
        <v>Fent</v>
      </c>
      <c r="E20" s="75" t="str">
        <f>IFERROR(__xludf.DUMMYFUNCTION("""COMPUTED_VALUE"""),"Klub")</f>
        <v>Klub</v>
      </c>
      <c r="F20" s="75" t="str">
        <f>IFERROR(__xludf.DUMMYFUNCTION("""COMPUTED_VALUE"""),"Wspinaczki")</f>
        <v>Wspinaczki</v>
      </c>
      <c r="G20" s="75" t="str">
        <f>IFERROR(__xludf.DUMMYFUNCTION("""COMPUTED_VALUE"""),"Sportowej")</f>
        <v>Sportowej</v>
      </c>
      <c r="H20" s="75" t="str">
        <f>IFERROR(__xludf.DUMMYFUNCTION("""COMPUTED_VALUE"""),"Klif")</f>
        <v>Klif</v>
      </c>
      <c r="I20" s="75" t="str">
        <f>IFERROR(__xludf.DUMMYFUNCTION("""COMPUTED_VALUE"""),"Tarnowskie")</f>
        <v>Tarnowskie</v>
      </c>
      <c r="J20" s="75" t="str">
        <f>IFERROR(__xludf.DUMMYFUNCTION("""COMPUTED_VALUE"""),"Góry")</f>
        <v>Góry</v>
      </c>
      <c r="M20" s="75" t="str">
        <f t="shared" si="1"/>
        <v>Klub Wspinaczki Sportowej Klif Tarnowskie Góry  </v>
      </c>
    </row>
    <row r="21">
      <c r="M21" s="75" t="str">
        <f t="shared" si="1"/>
        <v>       </v>
      </c>
    </row>
    <row r="22">
      <c r="M22" s="75" t="str">
        <f t="shared" si="1"/>
        <v>       </v>
      </c>
    </row>
    <row r="23">
      <c r="B23" s="8" t="s">
        <v>226</v>
      </c>
      <c r="C23" s="76" t="str">
        <f>IFERROR(__xludf.DUMMYFUNCTION("SPLIT(B23,"" "")"),"MŁODZICY")</f>
        <v>MŁODZICY</v>
      </c>
      <c r="M23" s="75" t="str">
        <f t="shared" si="1"/>
        <v>       </v>
      </c>
    </row>
    <row r="24">
      <c r="A24" s="75">
        <v>1.0</v>
      </c>
      <c r="B24" s="75" t="s">
        <v>227</v>
      </c>
      <c r="C24" s="75" t="str">
        <f>IFERROR(__xludf.DUMMYFUNCTION("SPLIT(B24,"" "")"),"Krzysztof")</f>
        <v>Krzysztof</v>
      </c>
      <c r="D24" s="75" t="str">
        <f>IFERROR(__xludf.DUMMYFUNCTION("""COMPUTED_VALUE"""),"Fronczak")</f>
        <v>Fronczak</v>
      </c>
      <c r="E24" s="75" t="str">
        <f>IFERROR(__xludf.DUMMYFUNCTION("""COMPUTED_VALUE"""),"Murall")</f>
        <v>Murall</v>
      </c>
      <c r="F24" s="75" t="str">
        <f>IFERROR(__xludf.DUMMYFUNCTION("""COMPUTED_VALUE"""),"UKA")</f>
        <v>UKA</v>
      </c>
      <c r="M24" s="75" t="str">
        <f t="shared" si="1"/>
        <v>Murall UKA      </v>
      </c>
    </row>
    <row r="25">
      <c r="A25" s="75">
        <v>2.0</v>
      </c>
      <c r="B25" s="75" t="s">
        <v>228</v>
      </c>
      <c r="C25" s="75" t="str">
        <f>IFERROR(__xludf.DUMMYFUNCTION("SPLIT(B25,"" "")"),"Maciej")</f>
        <v>Maciej</v>
      </c>
      <c r="D25" s="75" t="str">
        <f>IFERROR(__xludf.DUMMYFUNCTION("""COMPUTED_VALUE"""),"Oleksy")</f>
        <v>Oleksy</v>
      </c>
      <c r="E25" s="75" t="str">
        <f>IFERROR(__xludf.DUMMYFUNCTION("""COMPUTED_VALUE"""),"Klub")</f>
        <v>Klub</v>
      </c>
      <c r="F25" s="75" t="str">
        <f>IFERROR(__xludf.DUMMYFUNCTION("""COMPUTED_VALUE"""),"Sportowy")</f>
        <v>Sportowy</v>
      </c>
      <c r="G25" s="75" t="str">
        <f>IFERROR(__xludf.DUMMYFUNCTION("""COMPUTED_VALUE"""),"MOVE!")</f>
        <v>MOVE!</v>
      </c>
      <c r="H25" s="75" t="str">
        <f>IFERROR(__xludf.DUMMYFUNCTION("""COMPUTED_VALUE"""),"Avatar")</f>
        <v>Avatar</v>
      </c>
      <c r="M25" s="75" t="str">
        <f t="shared" si="1"/>
        <v>Klub Sportowy MOVE! Avatar    </v>
      </c>
    </row>
    <row r="26">
      <c r="A26" s="75">
        <v>3.0</v>
      </c>
      <c r="B26" s="75" t="s">
        <v>229</v>
      </c>
      <c r="C26" s="75" t="str">
        <f>IFERROR(__xludf.DUMMYFUNCTION("SPLIT(B26,"" "")"),"Franek")</f>
        <v>Franek</v>
      </c>
      <c r="D26" s="75" t="str">
        <f>IFERROR(__xludf.DUMMYFUNCTION("""COMPUTED_VALUE"""),"Bilejczyk")</f>
        <v>Bilejczyk</v>
      </c>
      <c r="E26" s="75" t="str">
        <f>IFERROR(__xludf.DUMMYFUNCTION("""COMPUTED_VALUE"""),"Murall")</f>
        <v>Murall</v>
      </c>
      <c r="F26" s="75" t="str">
        <f>IFERROR(__xludf.DUMMYFUNCTION("""COMPUTED_VALUE"""),"UKA")</f>
        <v>UKA</v>
      </c>
      <c r="M26" s="75" t="str">
        <f t="shared" si="1"/>
        <v>Murall UKA      </v>
      </c>
    </row>
    <row r="27">
      <c r="A27" s="75">
        <v>4.0</v>
      </c>
      <c r="B27" s="75" t="s">
        <v>230</v>
      </c>
      <c r="C27" s="75" t="str">
        <f>IFERROR(__xludf.DUMMYFUNCTION("SPLIT(B27,"" "")"),"Bartosz")</f>
        <v>Bartosz</v>
      </c>
      <c r="D27" s="75" t="str">
        <f>IFERROR(__xludf.DUMMYFUNCTION("""COMPUTED_VALUE"""),"Laskowski")</f>
        <v>Laskowski</v>
      </c>
      <c r="E27" s="75">
        <f>IFERROR(__xludf.DUMMYFUNCTION("""COMPUTED_VALUE"""),18.0)</f>
        <v>18</v>
      </c>
    </row>
    <row r="28">
      <c r="A28" s="75">
        <v>5.0</v>
      </c>
      <c r="B28" s="75" t="s">
        <v>231</v>
      </c>
      <c r="C28" s="75" t="str">
        <f>IFERROR(__xludf.DUMMYFUNCTION("SPLIT(B28,"" "")"),"Jan")</f>
        <v>Jan</v>
      </c>
      <c r="D28" s="75" t="str">
        <f>IFERROR(__xludf.DUMMYFUNCTION("""COMPUTED_VALUE"""),"Chaciński")</f>
        <v>Chaciński</v>
      </c>
      <c r="E28" s="75" t="str">
        <f>IFERROR(__xludf.DUMMYFUNCTION("""COMPUTED_VALUE"""),"Pol-Inowex")</f>
        <v>Pol-Inowex</v>
      </c>
      <c r="F28" s="75" t="str">
        <f>IFERROR(__xludf.DUMMYFUNCTION("""COMPUTED_VALUE"""),"Skarpa")</f>
        <v>Skarpa</v>
      </c>
      <c r="G28" s="75" t="str">
        <f>IFERROR(__xludf.DUMMYFUNCTION("""COMPUTED_VALUE"""),"Lublin")</f>
        <v>Lublin</v>
      </c>
      <c r="M28" s="75" t="str">
        <f t="shared" ref="M28:M146" si="2">JOIN(" ",E28:L28)</f>
        <v>Pol-Inowex Skarpa Lublin     </v>
      </c>
    </row>
    <row r="29">
      <c r="A29" s="75">
        <v>6.0</v>
      </c>
      <c r="B29" s="75" t="s">
        <v>232</v>
      </c>
      <c r="C29" s="75" t="str">
        <f>IFERROR(__xludf.DUMMYFUNCTION("SPLIT(B29,"" "")"),"Antoni")</f>
        <v>Antoni</v>
      </c>
      <c r="D29" s="75" t="str">
        <f>IFERROR(__xludf.DUMMYFUNCTION("""COMPUTED_VALUE"""),"Marcisz")</f>
        <v>Marcisz</v>
      </c>
      <c r="E29" s="75" t="str">
        <f>IFERROR(__xludf.DUMMYFUNCTION("""COMPUTED_VALUE"""),"Sekcja")</f>
        <v>Sekcja</v>
      </c>
      <c r="F29" s="75" t="str">
        <f>IFERROR(__xludf.DUMMYFUNCTION("""COMPUTED_VALUE"""),"Wspinaczkowa")</f>
        <v>Wspinaczkowa</v>
      </c>
      <c r="G29" s="75" t="str">
        <f>IFERROR(__xludf.DUMMYFUNCTION("""COMPUTED_VALUE"""),"KS")</f>
        <v>KS</v>
      </c>
      <c r="H29" s="75" t="str">
        <f>IFERROR(__xludf.DUMMYFUNCTION("""COMPUTED_VALUE"""),"""Korona""")</f>
        <v>"Korona"</v>
      </c>
      <c r="M29" s="75" t="str">
        <f t="shared" si="2"/>
        <v>Sekcja Wspinaczkowa KS "Korona"    </v>
      </c>
    </row>
    <row r="30">
      <c r="A30" s="75">
        <v>7.0</v>
      </c>
      <c r="B30" s="75" t="s">
        <v>233</v>
      </c>
      <c r="C30" s="75" t="str">
        <f>IFERROR(__xludf.DUMMYFUNCTION("SPLIT(B30,"" "")"),"Maksymilian")</f>
        <v>Maksymilian</v>
      </c>
      <c r="D30" s="75" t="str">
        <f>IFERROR(__xludf.DUMMYFUNCTION("""COMPUTED_VALUE"""),"Myśliwiec")</f>
        <v>Myśliwiec</v>
      </c>
      <c r="M30" s="75" t="str">
        <f t="shared" si="2"/>
        <v>       </v>
      </c>
    </row>
    <row r="31">
      <c r="A31" s="75">
        <v>8.0</v>
      </c>
      <c r="B31" s="75" t="s">
        <v>234</v>
      </c>
      <c r="C31" s="75" t="str">
        <f>IFERROR(__xludf.DUMMYFUNCTION("SPLIT(B31,"" "")"),"Gabriel")</f>
        <v>Gabriel</v>
      </c>
      <c r="D31" s="75" t="str">
        <f>IFERROR(__xludf.DUMMYFUNCTION("""COMPUTED_VALUE"""),"Kasiński")</f>
        <v>Kasiński</v>
      </c>
      <c r="E31" s="75" t="str">
        <f>IFERROR(__xludf.DUMMYFUNCTION("""COMPUTED_VALUE"""),"Klub")</f>
        <v>Klub</v>
      </c>
      <c r="F31" s="75" t="str">
        <f>IFERROR(__xludf.DUMMYFUNCTION("""COMPUTED_VALUE"""),"Sportowy")</f>
        <v>Sportowy</v>
      </c>
      <c r="G31" s="75" t="str">
        <f>IFERROR(__xludf.DUMMYFUNCTION("""COMPUTED_VALUE"""),"MOVE!")</f>
        <v>MOVE!</v>
      </c>
      <c r="H31" s="75" t="str">
        <f>IFERROR(__xludf.DUMMYFUNCTION("""COMPUTED_VALUE"""),"Avatar")</f>
        <v>Avatar</v>
      </c>
      <c r="M31" s="75" t="str">
        <f t="shared" si="2"/>
        <v>Klub Sportowy MOVE! Avatar    </v>
      </c>
    </row>
    <row r="32">
      <c r="A32" s="75">
        <v>9.0</v>
      </c>
      <c r="B32" s="8" t="s">
        <v>235</v>
      </c>
      <c r="C32" s="75" t="str">
        <f>IFERROR(__xludf.DUMMYFUNCTION("SPLIT(B32,"" "")"),"Jan")</f>
        <v>Jan</v>
      </c>
      <c r="D32" s="75" t="str">
        <f>IFERROR(__xludf.DUMMYFUNCTION("""COMPUTED_VALUE"""),"Prajsnar")</f>
        <v>Prajsnar</v>
      </c>
      <c r="E32" s="75" t="str">
        <f>IFERROR(__xludf.DUMMYFUNCTION("""COMPUTED_VALUE"""),"Murall")</f>
        <v>Murall</v>
      </c>
      <c r="F32" s="75" t="str">
        <f>IFERROR(__xludf.DUMMYFUNCTION("""COMPUTED_VALUE"""),"UKA")</f>
        <v>UKA</v>
      </c>
      <c r="M32" s="75" t="str">
        <f t="shared" si="2"/>
        <v>Murall UKA      </v>
      </c>
    </row>
    <row r="33">
      <c r="A33" s="75">
        <v>10.0</v>
      </c>
      <c r="B33" s="8" t="s">
        <v>236</v>
      </c>
      <c r="C33" s="75" t="str">
        <f>IFERROR(__xludf.DUMMYFUNCTION("SPLIT(B33,"" "")"),"Kajetan")</f>
        <v>Kajetan</v>
      </c>
      <c r="D33" s="75" t="str">
        <f>IFERROR(__xludf.DUMMYFUNCTION("""COMPUTED_VALUE"""),"Kozak")</f>
        <v>Kozak</v>
      </c>
      <c r="E33" s="75" t="str">
        <f>IFERROR(__xludf.DUMMYFUNCTION("""COMPUTED_VALUE"""),"Murall")</f>
        <v>Murall</v>
      </c>
      <c r="F33" s="75" t="str">
        <f>IFERROR(__xludf.DUMMYFUNCTION("""COMPUTED_VALUE"""),"UKA")</f>
        <v>UKA</v>
      </c>
      <c r="M33" s="75" t="str">
        <f t="shared" si="2"/>
        <v>Murall UKA      </v>
      </c>
    </row>
    <row r="34">
      <c r="A34" s="75">
        <v>11.0</v>
      </c>
      <c r="B34" s="8" t="s">
        <v>237</v>
      </c>
      <c r="C34" s="75" t="str">
        <f>IFERROR(__xludf.DUMMYFUNCTION("SPLIT(B34,"" "")"),"Jan")</f>
        <v>Jan</v>
      </c>
      <c r="D34" s="75" t="str">
        <f>IFERROR(__xludf.DUMMYFUNCTION("""COMPUTED_VALUE"""),"Pilch")</f>
        <v>Pilch</v>
      </c>
      <c r="E34" s="75" t="str">
        <f>IFERROR(__xludf.DUMMYFUNCTION("""COMPUTED_VALUE"""),"Sekcja")</f>
        <v>Sekcja</v>
      </c>
      <c r="F34" s="75" t="str">
        <f>IFERROR(__xludf.DUMMYFUNCTION("""COMPUTED_VALUE"""),"Wspinaczkowa")</f>
        <v>Wspinaczkowa</v>
      </c>
      <c r="G34" s="75" t="str">
        <f>IFERROR(__xludf.DUMMYFUNCTION("""COMPUTED_VALUE"""),"KS")</f>
        <v>KS</v>
      </c>
      <c r="H34" s="75" t="str">
        <f>IFERROR(__xludf.DUMMYFUNCTION("""COMPUTED_VALUE"""),"""Korona""")</f>
        <v>"Korona"</v>
      </c>
      <c r="M34" s="75" t="str">
        <f t="shared" si="2"/>
        <v>Sekcja Wspinaczkowa KS "Korona"    </v>
      </c>
    </row>
    <row r="35">
      <c r="A35" s="75">
        <v>12.0</v>
      </c>
      <c r="B35" s="8" t="s">
        <v>238</v>
      </c>
      <c r="C35" s="75" t="str">
        <f>IFERROR(__xludf.DUMMYFUNCTION("SPLIT(B35,"" "")"),"Aleksander")</f>
        <v>Aleksander</v>
      </c>
      <c r="D35" s="75" t="str">
        <f>IFERROR(__xludf.DUMMYFUNCTION("""COMPUTED_VALUE"""),"Butra")</f>
        <v>Butra</v>
      </c>
      <c r="M35" s="75" t="str">
        <f t="shared" si="2"/>
        <v>       </v>
      </c>
    </row>
    <row r="36">
      <c r="A36" s="75">
        <v>13.0</v>
      </c>
      <c r="B36" s="8" t="s">
        <v>239</v>
      </c>
      <c r="C36" s="75" t="str">
        <f>IFERROR(__xludf.DUMMYFUNCTION("SPLIT(B36,"" "")"),"Jeremi")</f>
        <v>Jeremi</v>
      </c>
      <c r="D36" s="75" t="str">
        <f>IFERROR(__xludf.DUMMYFUNCTION("""COMPUTED_VALUE"""),"Fedorowski")</f>
        <v>Fedorowski</v>
      </c>
      <c r="M36" s="75" t="str">
        <f t="shared" si="2"/>
        <v>       </v>
      </c>
    </row>
    <row r="37">
      <c r="M37" s="75" t="str">
        <f t="shared" si="2"/>
        <v>       </v>
      </c>
    </row>
    <row r="38">
      <c r="M38" s="75" t="str">
        <f t="shared" si="2"/>
        <v>       </v>
      </c>
    </row>
    <row r="39">
      <c r="B39" s="8" t="s">
        <v>240</v>
      </c>
      <c r="C39" s="71" t="s">
        <v>240</v>
      </c>
      <c r="M39" s="75" t="str">
        <f t="shared" si="2"/>
        <v>       </v>
      </c>
    </row>
    <row r="40">
      <c r="A40" s="77">
        <v>1.0</v>
      </c>
      <c r="B40" s="8" t="s">
        <v>241</v>
      </c>
      <c r="C40" s="75" t="str">
        <f>IFERROR(__xludf.DUMMYFUNCTION("SPLIT(B40,"" "")"),"Martyna")</f>
        <v>Martyna</v>
      </c>
      <c r="D40" s="75" t="str">
        <f>IFERROR(__xludf.DUMMYFUNCTION("""COMPUTED_VALUE"""),"Stokowiec")</f>
        <v>Stokowiec</v>
      </c>
      <c r="E40" s="75" t="str">
        <f>IFERROR(__xludf.DUMMYFUNCTION("""COMPUTED_VALUE"""),"Speleoklub")</f>
        <v>Speleoklub</v>
      </c>
      <c r="F40" s="75" t="str">
        <f>IFERROR(__xludf.DUMMYFUNCTION("""COMPUTED_VALUE"""),"Świętokrzyski")</f>
        <v>Świętokrzyski</v>
      </c>
      <c r="M40" s="75" t="str">
        <f t="shared" si="2"/>
        <v>Speleoklub Świętokrzyski      </v>
      </c>
    </row>
    <row r="41">
      <c r="A41" s="77">
        <v>2.0</v>
      </c>
      <c r="B41" s="8" t="s">
        <v>242</v>
      </c>
      <c r="C41" s="75" t="str">
        <f>IFERROR(__xludf.DUMMYFUNCTION("SPLIT(B41,"" "")"),"Amelia")</f>
        <v>Amelia</v>
      </c>
      <c r="D41" s="75" t="str">
        <f>IFERROR(__xludf.DUMMYFUNCTION("""COMPUTED_VALUE"""),"Mazur")</f>
        <v>Mazur</v>
      </c>
      <c r="E41" s="75" t="str">
        <f>IFERROR(__xludf.DUMMYFUNCTION("""COMPUTED_VALUE"""),"Klub")</f>
        <v>Klub</v>
      </c>
      <c r="F41" s="75" t="str">
        <f>IFERROR(__xludf.DUMMYFUNCTION("""COMPUTED_VALUE"""),"Wspinaczki")</f>
        <v>Wspinaczki</v>
      </c>
      <c r="G41" s="75" t="str">
        <f>IFERROR(__xludf.DUMMYFUNCTION("""COMPUTED_VALUE"""),"Sportowej")</f>
        <v>Sportowej</v>
      </c>
      <c r="H41" s="75" t="str">
        <f>IFERROR(__xludf.DUMMYFUNCTION("""COMPUTED_VALUE"""),"Klif")</f>
        <v>Klif</v>
      </c>
      <c r="I41" s="75" t="str">
        <f>IFERROR(__xludf.DUMMYFUNCTION("""COMPUTED_VALUE"""),"Tarnowskie")</f>
        <v>Tarnowskie</v>
      </c>
      <c r="J41" s="75" t="str">
        <f>IFERROR(__xludf.DUMMYFUNCTION("""COMPUTED_VALUE"""),"Góry")</f>
        <v>Góry</v>
      </c>
      <c r="M41" s="75" t="str">
        <f t="shared" si="2"/>
        <v>Klub Wspinaczki Sportowej Klif Tarnowskie Góry  </v>
      </c>
    </row>
    <row r="42">
      <c r="A42" s="77">
        <v>3.0</v>
      </c>
      <c r="B42" s="8" t="s">
        <v>243</v>
      </c>
      <c r="C42" s="75" t="str">
        <f>IFERROR(__xludf.DUMMYFUNCTION("SPLIT(B42,"" "")"),"Małgorzata")</f>
        <v>Małgorzata</v>
      </c>
      <c r="D42" s="75" t="str">
        <f>IFERROR(__xludf.DUMMYFUNCTION("""COMPUTED_VALUE"""),"Kurek")</f>
        <v>Kurek</v>
      </c>
      <c r="M42" s="75" t="str">
        <f t="shared" si="2"/>
        <v>       </v>
      </c>
    </row>
    <row r="43">
      <c r="A43" s="77">
        <v>4.0</v>
      </c>
      <c r="B43" s="8" t="s">
        <v>244</v>
      </c>
      <c r="C43" s="75" t="str">
        <f>IFERROR(__xludf.DUMMYFUNCTION("SPLIT(B43,"" "")"),"Karolina")</f>
        <v>Karolina</v>
      </c>
      <c r="D43" s="75" t="str">
        <f>IFERROR(__xludf.DUMMYFUNCTION("""COMPUTED_VALUE"""),"Ptak")</f>
        <v>Ptak</v>
      </c>
      <c r="E43" s="75" t="str">
        <f>IFERROR(__xludf.DUMMYFUNCTION("""COMPUTED_VALUE"""),"Klub")</f>
        <v>Klub</v>
      </c>
      <c r="F43" s="75" t="str">
        <f>IFERROR(__xludf.DUMMYFUNCTION("""COMPUTED_VALUE"""),"Wspinaczki")</f>
        <v>Wspinaczki</v>
      </c>
      <c r="G43" s="75" t="str">
        <f>IFERROR(__xludf.DUMMYFUNCTION("""COMPUTED_VALUE"""),"Sportowej")</f>
        <v>Sportowej</v>
      </c>
      <c r="H43" s="75" t="str">
        <f>IFERROR(__xludf.DUMMYFUNCTION("""COMPUTED_VALUE"""),"Klif")</f>
        <v>Klif</v>
      </c>
      <c r="I43" s="75" t="str">
        <f>IFERROR(__xludf.DUMMYFUNCTION("""COMPUTED_VALUE"""),"Tarnowskie")</f>
        <v>Tarnowskie</v>
      </c>
      <c r="J43" s="75" t="str">
        <f>IFERROR(__xludf.DUMMYFUNCTION("""COMPUTED_VALUE"""),"Góry")</f>
        <v>Góry</v>
      </c>
      <c r="M43" s="75" t="str">
        <f t="shared" si="2"/>
        <v>Klub Wspinaczki Sportowej Klif Tarnowskie Góry  </v>
      </c>
    </row>
    <row r="44">
      <c r="A44" s="77">
        <v>5.0</v>
      </c>
      <c r="B44" s="8" t="s">
        <v>245</v>
      </c>
      <c r="C44" s="75" t="str">
        <f>IFERROR(__xludf.DUMMYFUNCTION("SPLIT(B44,"" "")"),"Pola")</f>
        <v>Pola</v>
      </c>
      <c r="D44" s="75" t="str">
        <f>IFERROR(__xludf.DUMMYFUNCTION("""COMPUTED_VALUE"""),"Pietkiewicz")</f>
        <v>Pietkiewicz</v>
      </c>
      <c r="E44" s="75" t="str">
        <f>IFERROR(__xludf.DUMMYFUNCTION("""COMPUTED_VALUE"""),"Murall")</f>
        <v>Murall</v>
      </c>
      <c r="F44" s="75" t="str">
        <f>IFERROR(__xludf.DUMMYFUNCTION("""COMPUTED_VALUE"""),"UKA")</f>
        <v>UKA</v>
      </c>
      <c r="M44" s="75" t="str">
        <f t="shared" si="2"/>
        <v>Murall UKA      </v>
      </c>
    </row>
    <row r="45">
      <c r="A45" s="77">
        <v>6.0</v>
      </c>
      <c r="B45" s="8" t="s">
        <v>246</v>
      </c>
      <c r="C45" s="75" t="str">
        <f>IFERROR(__xludf.DUMMYFUNCTION("SPLIT(B45,"" "")"),"Natalia")</f>
        <v>Natalia</v>
      </c>
      <c r="D45" s="75" t="str">
        <f>IFERROR(__xludf.DUMMYFUNCTION("""COMPUTED_VALUE"""),"Włodarczyk")</f>
        <v>Włodarczyk</v>
      </c>
      <c r="E45" s="75" t="str">
        <f>IFERROR(__xludf.DUMMYFUNCTION("""COMPUTED_VALUE"""),"Klub")</f>
        <v>Klub</v>
      </c>
      <c r="F45" s="75" t="str">
        <f>IFERROR(__xludf.DUMMYFUNCTION("""COMPUTED_VALUE"""),"Wspinaczki")</f>
        <v>Wspinaczki</v>
      </c>
      <c r="G45" s="75" t="str">
        <f>IFERROR(__xludf.DUMMYFUNCTION("""COMPUTED_VALUE"""),"Sportowej")</f>
        <v>Sportowej</v>
      </c>
      <c r="H45" s="75" t="str">
        <f>IFERROR(__xludf.DUMMYFUNCTION("""COMPUTED_VALUE"""),"Klif")</f>
        <v>Klif</v>
      </c>
      <c r="I45" s="75" t="str">
        <f>IFERROR(__xludf.DUMMYFUNCTION("""COMPUTED_VALUE"""),"Tarnowskie")</f>
        <v>Tarnowskie</v>
      </c>
      <c r="J45" s="75" t="str">
        <f>IFERROR(__xludf.DUMMYFUNCTION("""COMPUTED_VALUE"""),"Góry")</f>
        <v>Góry</v>
      </c>
      <c r="M45" s="75" t="str">
        <f t="shared" si="2"/>
        <v>Klub Wspinaczki Sportowej Klif Tarnowskie Góry  </v>
      </c>
    </row>
    <row r="46">
      <c r="A46" s="77">
        <v>7.0</v>
      </c>
      <c r="B46" s="8" t="s">
        <v>247</v>
      </c>
      <c r="C46" s="75" t="str">
        <f>IFERROR(__xludf.DUMMYFUNCTION("SPLIT(B46,"" "")"),"Natalia")</f>
        <v>Natalia</v>
      </c>
      <c r="D46" s="75" t="str">
        <f>IFERROR(__xludf.DUMMYFUNCTION("""COMPUTED_VALUE"""),"Bibro")</f>
        <v>Bibro</v>
      </c>
      <c r="E46" s="75" t="str">
        <f>IFERROR(__xludf.DUMMYFUNCTION("""COMPUTED_VALUE"""),"MKS")</f>
        <v>MKS</v>
      </c>
      <c r="F46" s="75" t="str">
        <f>IFERROR(__xludf.DUMMYFUNCTION("""COMPUTED_VALUE"""),"Pałac")</f>
        <v>Pałac</v>
      </c>
      <c r="G46" s="75" t="str">
        <f>IFERROR(__xludf.DUMMYFUNCTION("""COMPUTED_VALUE"""),"Młodzieży")</f>
        <v>Młodzieży</v>
      </c>
      <c r="H46" s="75" t="str">
        <f>IFERROR(__xludf.DUMMYFUNCTION("""COMPUTED_VALUE"""),"w")</f>
        <v>w</v>
      </c>
      <c r="I46" s="75" t="str">
        <f>IFERROR(__xludf.DUMMYFUNCTION("""COMPUTED_VALUE"""),"Tarnowie")</f>
        <v>Tarnowie</v>
      </c>
      <c r="M46" s="75" t="str">
        <f t="shared" si="2"/>
        <v>MKS Pałac Młodzieży w Tarnowie   </v>
      </c>
    </row>
    <row r="47">
      <c r="A47" s="77">
        <v>8.0</v>
      </c>
      <c r="B47" s="8" t="s">
        <v>248</v>
      </c>
      <c r="C47" s="75" t="str">
        <f>IFERROR(__xludf.DUMMYFUNCTION("SPLIT(B47,"" "")"),"Róża")</f>
        <v>Róża</v>
      </c>
      <c r="D47" s="75" t="str">
        <f>IFERROR(__xludf.DUMMYFUNCTION("""COMPUTED_VALUE"""),"Ciborowska")</f>
        <v>Ciborowska</v>
      </c>
      <c r="E47" s="75" t="str">
        <f>IFERROR(__xludf.DUMMYFUNCTION("""COMPUTED_VALUE"""),"Murall")</f>
        <v>Murall</v>
      </c>
      <c r="F47" s="75" t="str">
        <f>IFERROR(__xludf.DUMMYFUNCTION("""COMPUTED_VALUE"""),"UKA")</f>
        <v>UKA</v>
      </c>
      <c r="M47" s="75" t="str">
        <f t="shared" si="2"/>
        <v>Murall UKA      </v>
      </c>
    </row>
    <row r="48">
      <c r="A48" s="77">
        <v>9.0</v>
      </c>
      <c r="B48" s="8" t="s">
        <v>249</v>
      </c>
      <c r="C48" s="75" t="str">
        <f>IFERROR(__xludf.DUMMYFUNCTION("SPLIT(B48,"" "")"),"Anna")</f>
        <v>Anna</v>
      </c>
      <c r="D48" s="75" t="str">
        <f>IFERROR(__xludf.DUMMYFUNCTION("""COMPUTED_VALUE"""),"Wiejaczka")</f>
        <v>Wiejaczka</v>
      </c>
      <c r="E48" s="75" t="str">
        <f>IFERROR(__xludf.DUMMYFUNCTION("""COMPUTED_VALUE"""),"MKS")</f>
        <v>MKS</v>
      </c>
      <c r="F48" s="75" t="str">
        <f>IFERROR(__xludf.DUMMYFUNCTION("""COMPUTED_VALUE"""),"Pałac")</f>
        <v>Pałac</v>
      </c>
      <c r="G48" s="75" t="str">
        <f>IFERROR(__xludf.DUMMYFUNCTION("""COMPUTED_VALUE"""),"Młodzieży")</f>
        <v>Młodzieży</v>
      </c>
      <c r="H48" s="75" t="str">
        <f>IFERROR(__xludf.DUMMYFUNCTION("""COMPUTED_VALUE"""),"w")</f>
        <v>w</v>
      </c>
      <c r="I48" s="75" t="str">
        <f>IFERROR(__xludf.DUMMYFUNCTION("""COMPUTED_VALUE"""),"Tarnowie")</f>
        <v>Tarnowie</v>
      </c>
      <c r="M48" s="75" t="str">
        <f t="shared" si="2"/>
        <v>MKS Pałac Młodzieży w Tarnowie   </v>
      </c>
    </row>
    <row r="49">
      <c r="A49" s="77">
        <v>10.0</v>
      </c>
      <c r="B49" s="8" t="s">
        <v>250</v>
      </c>
      <c r="C49" s="75" t="str">
        <f>IFERROR(__xludf.DUMMYFUNCTION("SPLIT(B49,"" "")"),"Magdalena")</f>
        <v>Magdalena</v>
      </c>
      <c r="D49" s="75" t="str">
        <f>IFERROR(__xludf.DUMMYFUNCTION("""COMPUTED_VALUE"""),"Kloch")</f>
        <v>Kloch</v>
      </c>
      <c r="E49" s="75" t="str">
        <f>IFERROR(__xludf.DUMMYFUNCTION("""COMPUTED_VALUE"""),"MKS")</f>
        <v>MKS</v>
      </c>
      <c r="F49" s="75" t="str">
        <f>IFERROR(__xludf.DUMMYFUNCTION("""COMPUTED_VALUE"""),"Pałac")</f>
        <v>Pałac</v>
      </c>
      <c r="G49" s="75" t="str">
        <f>IFERROR(__xludf.DUMMYFUNCTION("""COMPUTED_VALUE"""),"Młodzieży")</f>
        <v>Młodzieży</v>
      </c>
      <c r="H49" s="75" t="str">
        <f>IFERROR(__xludf.DUMMYFUNCTION("""COMPUTED_VALUE"""),"w")</f>
        <v>w</v>
      </c>
      <c r="I49" s="75" t="str">
        <f>IFERROR(__xludf.DUMMYFUNCTION("""COMPUTED_VALUE"""),"Tarnowie")</f>
        <v>Tarnowie</v>
      </c>
      <c r="M49" s="75" t="str">
        <f t="shared" si="2"/>
        <v>MKS Pałac Młodzieży w Tarnowie   </v>
      </c>
    </row>
    <row r="50">
      <c r="A50" s="77">
        <v>11.0</v>
      </c>
      <c r="B50" s="8" t="s">
        <v>251</v>
      </c>
      <c r="C50" s="75" t="str">
        <f>IFERROR(__xludf.DUMMYFUNCTION("SPLIT(B50,"" "")"),"Zuzanna")</f>
        <v>Zuzanna</v>
      </c>
      <c r="D50" s="75" t="str">
        <f>IFERROR(__xludf.DUMMYFUNCTION("""COMPUTED_VALUE"""),"Malczyk")</f>
        <v>Malczyk</v>
      </c>
      <c r="E50" s="75" t="str">
        <f>IFERROR(__xludf.DUMMYFUNCTION("""COMPUTED_VALUE"""),"Klub")</f>
        <v>Klub</v>
      </c>
      <c r="F50" s="75" t="str">
        <f>IFERROR(__xludf.DUMMYFUNCTION("""COMPUTED_VALUE"""),"Wspinaczki")</f>
        <v>Wspinaczki</v>
      </c>
      <c r="G50" s="75" t="str">
        <f>IFERROR(__xludf.DUMMYFUNCTION("""COMPUTED_VALUE"""),"Sportowej")</f>
        <v>Sportowej</v>
      </c>
      <c r="H50" s="75" t="str">
        <f>IFERROR(__xludf.DUMMYFUNCTION("""COMPUTED_VALUE"""),"Klif")</f>
        <v>Klif</v>
      </c>
      <c r="I50" s="75" t="str">
        <f>IFERROR(__xludf.DUMMYFUNCTION("""COMPUTED_VALUE"""),"Tarnowskie")</f>
        <v>Tarnowskie</v>
      </c>
      <c r="J50" s="75" t="str">
        <f>IFERROR(__xludf.DUMMYFUNCTION("""COMPUTED_VALUE"""),"Góry")</f>
        <v>Góry</v>
      </c>
      <c r="M50" s="75" t="str">
        <f t="shared" si="2"/>
        <v>Klub Wspinaczki Sportowej Klif Tarnowskie Góry  </v>
      </c>
    </row>
    <row r="51">
      <c r="A51" s="77">
        <v>12.0</v>
      </c>
      <c r="B51" s="8" t="s">
        <v>252</v>
      </c>
      <c r="C51" s="75" t="str">
        <f>IFERROR(__xludf.DUMMYFUNCTION("SPLIT(B51,"" "")"),"Gabriela")</f>
        <v>Gabriela</v>
      </c>
      <c r="D51" s="75" t="str">
        <f>IFERROR(__xludf.DUMMYFUNCTION("""COMPUTED_VALUE"""),"Sochal")</f>
        <v>Sochal</v>
      </c>
      <c r="E51" s="75" t="str">
        <f>IFERROR(__xludf.DUMMYFUNCTION("""COMPUTED_VALUE"""),"Pol-Inowex")</f>
        <v>Pol-Inowex</v>
      </c>
      <c r="F51" s="75" t="str">
        <f>IFERROR(__xludf.DUMMYFUNCTION("""COMPUTED_VALUE"""),"Skarpa")</f>
        <v>Skarpa</v>
      </c>
      <c r="G51" s="75" t="str">
        <f>IFERROR(__xludf.DUMMYFUNCTION("""COMPUTED_VALUE"""),"Lublin")</f>
        <v>Lublin</v>
      </c>
      <c r="M51" s="75" t="str">
        <f t="shared" si="2"/>
        <v>Pol-Inowex Skarpa Lublin     </v>
      </c>
    </row>
    <row r="52">
      <c r="M52" s="75" t="str">
        <f t="shared" si="2"/>
        <v>       </v>
      </c>
    </row>
    <row r="53">
      <c r="M53" s="75" t="str">
        <f t="shared" si="2"/>
        <v>       </v>
      </c>
    </row>
    <row r="54">
      <c r="B54" s="8" t="s">
        <v>253</v>
      </c>
      <c r="C54" s="71" t="s">
        <v>253</v>
      </c>
      <c r="M54" s="75" t="str">
        <f t="shared" si="2"/>
        <v>       </v>
      </c>
    </row>
    <row r="55">
      <c r="A55" s="77">
        <v>1.0</v>
      </c>
      <c r="B55" s="77" t="s">
        <v>254</v>
      </c>
      <c r="C55" s="75" t="str">
        <f>IFERROR(__xludf.DUMMYFUNCTION("SPLIT(B55,"" "")"),"Eryk")</f>
        <v>Eryk</v>
      </c>
      <c r="D55" s="75" t="str">
        <f>IFERROR(__xludf.DUMMYFUNCTION("""COMPUTED_VALUE"""),"Nawój")</f>
        <v>Nawój</v>
      </c>
      <c r="E55" s="75" t="str">
        <f>IFERROR(__xludf.DUMMYFUNCTION("""COMPUTED_VALUE"""),"Klub")</f>
        <v>Klub</v>
      </c>
      <c r="F55" s="75" t="str">
        <f>IFERROR(__xludf.DUMMYFUNCTION("""COMPUTED_VALUE"""),"Sportowy")</f>
        <v>Sportowy</v>
      </c>
      <c r="G55" s="75" t="str">
        <f>IFERROR(__xludf.DUMMYFUNCTION("""COMPUTED_VALUE"""),"Sportiva")</f>
        <v>Sportiva</v>
      </c>
      <c r="H55" s="75" t="str">
        <f>IFERROR(__xludf.DUMMYFUNCTION("""COMPUTED_VALUE"""),"Tarnów")</f>
        <v>Tarnów</v>
      </c>
      <c r="M55" s="75" t="str">
        <f t="shared" si="2"/>
        <v>Klub Sportowy Sportiva Tarnów    </v>
      </c>
    </row>
    <row r="56">
      <c r="A56" s="77">
        <v>2.0</v>
      </c>
      <c r="B56" s="77" t="s">
        <v>255</v>
      </c>
      <c r="C56" s="75" t="str">
        <f>IFERROR(__xludf.DUMMYFUNCTION("SPLIT(B56,"" "")"),"Bartłomiej")</f>
        <v>Bartłomiej</v>
      </c>
      <c r="D56" s="75" t="str">
        <f>IFERROR(__xludf.DUMMYFUNCTION("""COMPUTED_VALUE"""),"Adamczyk")</f>
        <v>Adamczyk</v>
      </c>
      <c r="E56" s="75" t="str">
        <f>IFERROR(__xludf.DUMMYFUNCTION("""COMPUTED_VALUE"""),"Bełchatowski")</f>
        <v>Bełchatowski</v>
      </c>
      <c r="F56" s="75" t="str">
        <f>IFERROR(__xludf.DUMMYFUNCTION("""COMPUTED_VALUE"""),"Klub")</f>
        <v>Klub</v>
      </c>
      <c r="G56" s="75" t="str">
        <f>IFERROR(__xludf.DUMMYFUNCTION("""COMPUTED_VALUE"""),"Wysokogórski")</f>
        <v>Wysokogórski</v>
      </c>
      <c r="M56" s="75" t="str">
        <f t="shared" si="2"/>
        <v>Bełchatowski Klub Wysokogórski     </v>
      </c>
    </row>
    <row r="57">
      <c r="A57" s="77">
        <v>3.0</v>
      </c>
      <c r="B57" s="77" t="s">
        <v>256</v>
      </c>
      <c r="C57" s="75" t="str">
        <f>IFERROR(__xludf.DUMMYFUNCTION("SPLIT(B57,"" "")"),"Jan")</f>
        <v>Jan</v>
      </c>
      <c r="D57" s="75" t="str">
        <f>IFERROR(__xludf.DUMMYFUNCTION("""COMPUTED_VALUE"""),"Swęd")</f>
        <v>Swęd</v>
      </c>
      <c r="E57" s="75" t="str">
        <f>IFERROR(__xludf.DUMMYFUNCTION("""COMPUTED_VALUE"""),"Murall")</f>
        <v>Murall</v>
      </c>
      <c r="F57" s="75" t="str">
        <f>IFERROR(__xludf.DUMMYFUNCTION("""COMPUTED_VALUE"""),"UKA")</f>
        <v>UKA</v>
      </c>
      <c r="M57" s="75" t="str">
        <f t="shared" si="2"/>
        <v>Murall UKA      </v>
      </c>
    </row>
    <row r="58">
      <c r="A58" s="77">
        <v>4.0</v>
      </c>
      <c r="B58" s="77" t="s">
        <v>257</v>
      </c>
      <c r="C58" s="75" t="str">
        <f>IFERROR(__xludf.DUMMYFUNCTION("SPLIT(B58,"" "")"),"Mikołaj")</f>
        <v>Mikołaj</v>
      </c>
      <c r="D58" s="75" t="str">
        <f>IFERROR(__xludf.DUMMYFUNCTION("""COMPUTED_VALUE"""),"Barabas")</f>
        <v>Barabas</v>
      </c>
      <c r="E58" s="75" t="str">
        <f>IFERROR(__xludf.DUMMYFUNCTION("""COMPUTED_VALUE"""),"Pol-Inowex")</f>
        <v>Pol-Inowex</v>
      </c>
      <c r="F58" s="75" t="str">
        <f>IFERROR(__xludf.DUMMYFUNCTION("""COMPUTED_VALUE"""),"Skarpa")</f>
        <v>Skarpa</v>
      </c>
      <c r="G58" s="75" t="str">
        <f>IFERROR(__xludf.DUMMYFUNCTION("""COMPUTED_VALUE"""),"Lublin")</f>
        <v>Lublin</v>
      </c>
      <c r="M58" s="75" t="str">
        <f t="shared" si="2"/>
        <v>Pol-Inowex Skarpa Lublin     </v>
      </c>
    </row>
    <row r="59">
      <c r="A59" s="77">
        <v>5.0</v>
      </c>
      <c r="B59" s="8" t="s">
        <v>258</v>
      </c>
      <c r="C59" s="75" t="str">
        <f>IFERROR(__xludf.DUMMYFUNCTION("SPLIT(B59,"" "")"),"Antoni")</f>
        <v>Antoni</v>
      </c>
      <c r="D59" s="75" t="str">
        <f>IFERROR(__xludf.DUMMYFUNCTION("""COMPUTED_VALUE"""),"Rygiel")</f>
        <v>Rygiel</v>
      </c>
      <c r="E59" s="75" t="str">
        <f>IFERROR(__xludf.DUMMYFUNCTION("""COMPUTED_VALUE"""),"Klub")</f>
        <v>Klub</v>
      </c>
      <c r="F59" s="75" t="str">
        <f>IFERROR(__xludf.DUMMYFUNCTION("""COMPUTED_VALUE"""),"Wspinaczkowy")</f>
        <v>Wspinaczkowy</v>
      </c>
      <c r="G59" s="75" t="str">
        <f>IFERROR(__xludf.DUMMYFUNCTION("""COMPUTED_VALUE"""),"AGAMA")</f>
        <v>AGAMA</v>
      </c>
      <c r="M59" s="75" t="str">
        <f t="shared" si="2"/>
        <v>Klub Wspinaczkowy AGAMA     </v>
      </c>
    </row>
    <row r="60">
      <c r="A60" s="77">
        <v>6.0</v>
      </c>
      <c r="B60" s="8" t="s">
        <v>259</v>
      </c>
      <c r="C60" s="75" t="str">
        <f>IFERROR(__xludf.DUMMYFUNCTION("SPLIT(B60,"" "")"),"Tymon")</f>
        <v>Tymon</v>
      </c>
      <c r="D60" s="75" t="str">
        <f>IFERROR(__xludf.DUMMYFUNCTION("""COMPUTED_VALUE"""),"Ostafiński")</f>
        <v>Ostafiński</v>
      </c>
      <c r="E60" s="75" t="str">
        <f>IFERROR(__xludf.DUMMYFUNCTION("""COMPUTED_VALUE"""),"Klub")</f>
        <v>Klub</v>
      </c>
      <c r="F60" s="75" t="str">
        <f>IFERROR(__xludf.DUMMYFUNCTION("""COMPUTED_VALUE"""),"Wspinaczki")</f>
        <v>Wspinaczki</v>
      </c>
      <c r="G60" s="75" t="str">
        <f>IFERROR(__xludf.DUMMYFUNCTION("""COMPUTED_VALUE"""),"Sportowej")</f>
        <v>Sportowej</v>
      </c>
      <c r="H60" s="75" t="str">
        <f>IFERROR(__xludf.DUMMYFUNCTION("""COMPUTED_VALUE"""),"Klif")</f>
        <v>Klif</v>
      </c>
      <c r="I60" s="75" t="str">
        <f>IFERROR(__xludf.DUMMYFUNCTION("""COMPUTED_VALUE"""),"Tarnowskie")</f>
        <v>Tarnowskie</v>
      </c>
      <c r="J60" s="75" t="str">
        <f>IFERROR(__xludf.DUMMYFUNCTION("""COMPUTED_VALUE"""),"Góry")</f>
        <v>Góry</v>
      </c>
      <c r="M60" s="75" t="str">
        <f t="shared" si="2"/>
        <v>Klub Wspinaczki Sportowej Klif Tarnowskie Góry  </v>
      </c>
    </row>
    <row r="61">
      <c r="A61" s="77">
        <v>7.0</v>
      </c>
      <c r="B61" s="8" t="s">
        <v>260</v>
      </c>
      <c r="C61" s="75" t="str">
        <f>IFERROR(__xludf.DUMMYFUNCTION("SPLIT(B61,"" "")"),"Mateusz")</f>
        <v>Mateusz</v>
      </c>
      <c r="D61" s="75" t="str">
        <f>IFERROR(__xludf.DUMMYFUNCTION("""COMPUTED_VALUE"""),"Dąbrowski")</f>
        <v>Dąbrowski</v>
      </c>
      <c r="E61" s="75" t="str">
        <f>IFERROR(__xludf.DUMMYFUNCTION("""COMPUTED_VALUE"""),"Murall")</f>
        <v>Murall</v>
      </c>
      <c r="F61" s="75" t="str">
        <f>IFERROR(__xludf.DUMMYFUNCTION("""COMPUTED_VALUE"""),"UKA")</f>
        <v>UKA</v>
      </c>
      <c r="M61" s="75" t="str">
        <f t="shared" si="2"/>
        <v>Murall UKA      </v>
      </c>
    </row>
    <row r="62">
      <c r="A62" s="77">
        <v>8.0</v>
      </c>
      <c r="B62" s="8" t="s">
        <v>261</v>
      </c>
      <c r="C62" s="75" t="str">
        <f>IFERROR(__xludf.DUMMYFUNCTION("SPLIT(B62,"" "")"),"Szymon")</f>
        <v>Szymon</v>
      </c>
      <c r="D62" s="75" t="str">
        <f>IFERROR(__xludf.DUMMYFUNCTION("""COMPUTED_VALUE"""),"Kopel")</f>
        <v>Kopel</v>
      </c>
      <c r="E62" s="75" t="str">
        <f>IFERROR(__xludf.DUMMYFUNCTION("""COMPUTED_VALUE"""),"Klub")</f>
        <v>Klub</v>
      </c>
      <c r="F62" s="75" t="str">
        <f>IFERROR(__xludf.DUMMYFUNCTION("""COMPUTED_VALUE"""),"Sportowy")</f>
        <v>Sportowy</v>
      </c>
      <c r="G62" s="75" t="str">
        <f>IFERROR(__xludf.DUMMYFUNCTION("""COMPUTED_VALUE"""),"Skarpa")</f>
        <v>Skarpa</v>
      </c>
      <c r="H62" s="75" t="str">
        <f>IFERROR(__xludf.DUMMYFUNCTION("""COMPUTED_VALUE"""),"Bytom")</f>
        <v>Bytom</v>
      </c>
      <c r="M62" s="75" t="str">
        <f t="shared" si="2"/>
        <v>Klub Sportowy Skarpa Bytom    </v>
      </c>
    </row>
    <row r="63">
      <c r="A63" s="77">
        <v>9.0</v>
      </c>
      <c r="B63" s="8" t="s">
        <v>262</v>
      </c>
      <c r="C63" s="75" t="str">
        <f>IFERROR(__xludf.DUMMYFUNCTION("SPLIT(B63,"" "")"),"Igor")</f>
        <v>Igor</v>
      </c>
      <c r="D63" s="75" t="str">
        <f>IFERROR(__xludf.DUMMYFUNCTION("""COMPUTED_VALUE"""),"Sarnecki")</f>
        <v>Sarnecki</v>
      </c>
      <c r="M63" s="75" t="str">
        <f t="shared" si="2"/>
        <v>       </v>
      </c>
    </row>
    <row r="64">
      <c r="A64" s="77">
        <v>10.0</v>
      </c>
      <c r="B64" s="8" t="s">
        <v>263</v>
      </c>
      <c r="C64" s="75" t="str">
        <f>IFERROR(__xludf.DUMMYFUNCTION("SPLIT(B64,"" "")"),"Michał")</f>
        <v>Michał</v>
      </c>
      <c r="D64" s="75" t="str">
        <f>IFERROR(__xludf.DUMMYFUNCTION("""COMPUTED_VALUE"""),"Muzaj")</f>
        <v>Muzaj</v>
      </c>
      <c r="E64" s="75" t="str">
        <f>IFERROR(__xludf.DUMMYFUNCTION("""COMPUTED_VALUE"""),"Murall")</f>
        <v>Murall</v>
      </c>
      <c r="F64" s="75" t="str">
        <f>IFERROR(__xludf.DUMMYFUNCTION("""COMPUTED_VALUE"""),"UKA")</f>
        <v>UKA</v>
      </c>
      <c r="M64" s="75" t="str">
        <f t="shared" si="2"/>
        <v>Murall UKA      </v>
      </c>
    </row>
    <row r="65">
      <c r="A65" s="77">
        <v>11.0</v>
      </c>
      <c r="B65" s="8" t="s">
        <v>264</v>
      </c>
      <c r="C65" s="75" t="str">
        <f>IFERROR(__xludf.DUMMYFUNCTION("SPLIT(B65,"" "")"),"Mateusz")</f>
        <v>Mateusz</v>
      </c>
      <c r="D65" s="75" t="str">
        <f>IFERROR(__xludf.DUMMYFUNCTION("""COMPUTED_VALUE"""),"Muzaj")</f>
        <v>Muzaj</v>
      </c>
      <c r="E65" s="75" t="str">
        <f>IFERROR(__xludf.DUMMYFUNCTION("""COMPUTED_VALUE"""),"Murall")</f>
        <v>Murall</v>
      </c>
      <c r="F65" s="75" t="str">
        <f>IFERROR(__xludf.DUMMYFUNCTION("""COMPUTED_VALUE"""),"UKA")</f>
        <v>UKA</v>
      </c>
      <c r="M65" s="75" t="str">
        <f t="shared" si="2"/>
        <v>Murall UKA      </v>
      </c>
    </row>
    <row r="66">
      <c r="A66" s="77">
        <v>12.0</v>
      </c>
      <c r="B66" s="8" t="s">
        <v>265</v>
      </c>
      <c r="C66" s="75" t="str">
        <f>IFERROR(__xludf.DUMMYFUNCTION("SPLIT(B66,"" "")"),"Maksymilian")</f>
        <v>Maksymilian</v>
      </c>
      <c r="D66" s="75" t="str">
        <f>IFERROR(__xludf.DUMMYFUNCTION("""COMPUTED_VALUE"""),"Siwek")</f>
        <v>Siwek</v>
      </c>
      <c r="E66" s="75" t="str">
        <f>IFERROR(__xludf.DUMMYFUNCTION("""COMPUTED_VALUE"""),"Klub")</f>
        <v>Klub</v>
      </c>
      <c r="F66" s="75" t="str">
        <f>IFERROR(__xludf.DUMMYFUNCTION("""COMPUTED_VALUE"""),"Sportowy")</f>
        <v>Sportowy</v>
      </c>
      <c r="G66" s="75" t="str">
        <f>IFERROR(__xludf.DUMMYFUNCTION("""COMPUTED_VALUE"""),"Skarpa")</f>
        <v>Skarpa</v>
      </c>
      <c r="H66" s="75" t="str">
        <f>IFERROR(__xludf.DUMMYFUNCTION("""COMPUTED_VALUE"""),"Bytom")</f>
        <v>Bytom</v>
      </c>
      <c r="M66" s="75" t="str">
        <f t="shared" si="2"/>
        <v>Klub Sportowy Skarpa Bytom    </v>
      </c>
    </row>
    <row r="67">
      <c r="A67" s="77">
        <v>13.0</v>
      </c>
      <c r="B67" s="8" t="s">
        <v>266</v>
      </c>
      <c r="C67" s="75" t="str">
        <f>IFERROR(__xludf.DUMMYFUNCTION("SPLIT(B67,"" "")"),"Filip")</f>
        <v>Filip</v>
      </c>
      <c r="D67" s="75" t="str">
        <f>IFERROR(__xludf.DUMMYFUNCTION("""COMPUTED_VALUE"""),"Nowak")</f>
        <v>Nowak</v>
      </c>
      <c r="M67" s="75" t="str">
        <f t="shared" si="2"/>
        <v>       </v>
      </c>
    </row>
    <row r="68">
      <c r="A68" s="77">
        <v>14.0</v>
      </c>
      <c r="B68" s="8" t="s">
        <v>267</v>
      </c>
      <c r="C68" s="75" t="str">
        <f>IFERROR(__xludf.DUMMYFUNCTION("SPLIT(B68,"" "")"),"Jurowski")</f>
        <v>Jurowski</v>
      </c>
      <c r="D68" s="75" t="str">
        <f>IFERROR(__xludf.DUMMYFUNCTION("""COMPUTED_VALUE"""),"Artur")</f>
        <v>Artur</v>
      </c>
      <c r="M68" s="75" t="str">
        <f t="shared" si="2"/>
        <v>       </v>
      </c>
    </row>
    <row r="69">
      <c r="A69" s="77">
        <v>15.0</v>
      </c>
      <c r="B69" s="8" t="s">
        <v>268</v>
      </c>
      <c r="C69" s="75" t="str">
        <f>IFERROR(__xludf.DUMMYFUNCTION("SPLIT(B69,"" "")"),"Filip")</f>
        <v>Filip</v>
      </c>
      <c r="D69" s="75" t="str">
        <f>IFERROR(__xludf.DUMMYFUNCTION("""COMPUTED_VALUE"""),"Tutaj")</f>
        <v>Tutaj</v>
      </c>
      <c r="E69" s="75" t="str">
        <f>IFERROR(__xludf.DUMMYFUNCTION("""COMPUTED_VALUE"""),"Klub")</f>
        <v>Klub</v>
      </c>
      <c r="F69" s="75" t="str">
        <f>IFERROR(__xludf.DUMMYFUNCTION("""COMPUTED_VALUE"""),"Sportowy")</f>
        <v>Sportowy</v>
      </c>
      <c r="G69" s="75" t="str">
        <f>IFERROR(__xludf.DUMMYFUNCTION("""COMPUTED_VALUE"""),"Sportiva")</f>
        <v>Sportiva</v>
      </c>
      <c r="H69" s="75" t="str">
        <f>IFERROR(__xludf.DUMMYFUNCTION("""COMPUTED_VALUE"""),"Tarnów")</f>
        <v>Tarnów</v>
      </c>
      <c r="M69" s="75" t="str">
        <f t="shared" si="2"/>
        <v>Klub Sportowy Sportiva Tarnów    </v>
      </c>
    </row>
    <row r="70">
      <c r="A70" s="77">
        <v>16.0</v>
      </c>
      <c r="B70" s="8" t="s">
        <v>269</v>
      </c>
      <c r="C70" s="75" t="str">
        <f>IFERROR(__xludf.DUMMYFUNCTION("SPLIT(B70,"" "")"),"Robert")</f>
        <v>Robert</v>
      </c>
      <c r="D70" s="75" t="str">
        <f>IFERROR(__xludf.DUMMYFUNCTION("""COMPUTED_VALUE"""),"Zając")</f>
        <v>Zając</v>
      </c>
      <c r="E70" s="75" t="str">
        <f>IFERROR(__xludf.DUMMYFUNCTION("""COMPUTED_VALUE"""),"Sekcja")</f>
        <v>Sekcja</v>
      </c>
      <c r="F70" s="75" t="str">
        <f>IFERROR(__xludf.DUMMYFUNCTION("""COMPUTED_VALUE"""),"Wspinaczkowa")</f>
        <v>Wspinaczkowa</v>
      </c>
      <c r="G70" s="75" t="str">
        <f>IFERROR(__xludf.DUMMYFUNCTION("""COMPUTED_VALUE"""),"KS")</f>
        <v>KS</v>
      </c>
      <c r="H70" s="75" t="str">
        <f>IFERROR(__xludf.DUMMYFUNCTION("""COMPUTED_VALUE"""),"""Korona""")</f>
        <v>"Korona"</v>
      </c>
      <c r="M70" s="75" t="str">
        <f t="shared" si="2"/>
        <v>Sekcja Wspinaczkowa KS "Korona"    </v>
      </c>
    </row>
    <row r="71">
      <c r="A71" s="77">
        <v>17.0</v>
      </c>
      <c r="B71" s="8" t="s">
        <v>270</v>
      </c>
      <c r="C71" s="75" t="str">
        <f>IFERROR(__xludf.DUMMYFUNCTION("SPLIT(B71,"" "")"),"Filip")</f>
        <v>Filip</v>
      </c>
      <c r="D71" s="75" t="str">
        <f>IFERROR(__xludf.DUMMYFUNCTION("""COMPUTED_VALUE"""),"Łoboda")</f>
        <v>Łoboda</v>
      </c>
      <c r="E71" s="75" t="str">
        <f>IFERROR(__xludf.DUMMYFUNCTION("""COMPUTED_VALUE"""),"MKS")</f>
        <v>MKS</v>
      </c>
      <c r="F71" s="75" t="str">
        <f>IFERROR(__xludf.DUMMYFUNCTION("""COMPUTED_VALUE"""),"Pałac")</f>
        <v>Pałac</v>
      </c>
      <c r="G71" s="75" t="str">
        <f>IFERROR(__xludf.DUMMYFUNCTION("""COMPUTED_VALUE"""),"Młodzieży")</f>
        <v>Młodzieży</v>
      </c>
      <c r="H71" s="75" t="str">
        <f>IFERROR(__xludf.DUMMYFUNCTION("""COMPUTED_VALUE"""),"w")</f>
        <v>w</v>
      </c>
      <c r="I71" s="75" t="str">
        <f>IFERROR(__xludf.DUMMYFUNCTION("""COMPUTED_VALUE"""),"Tarnowie")</f>
        <v>Tarnowie</v>
      </c>
      <c r="M71" s="75" t="str">
        <f t="shared" si="2"/>
        <v>MKS Pałac Młodzieży w Tarnowie   </v>
      </c>
    </row>
    <row r="72">
      <c r="A72" s="77">
        <v>18.0</v>
      </c>
      <c r="B72" s="8" t="s">
        <v>271</v>
      </c>
      <c r="C72" s="75" t="str">
        <f>IFERROR(__xludf.DUMMYFUNCTION("SPLIT(B72,"" "")"),"Antoni")</f>
        <v>Antoni</v>
      </c>
      <c r="D72" s="75" t="str">
        <f>IFERROR(__xludf.DUMMYFUNCTION("""COMPUTED_VALUE"""),"Szczygła")</f>
        <v>Szczygła</v>
      </c>
      <c r="E72" s="75" t="str">
        <f>IFERROR(__xludf.DUMMYFUNCTION("""COMPUTED_VALUE"""),"Pol-Inowex")</f>
        <v>Pol-Inowex</v>
      </c>
      <c r="F72" s="75" t="str">
        <f>IFERROR(__xludf.DUMMYFUNCTION("""COMPUTED_VALUE"""),"Skarpa")</f>
        <v>Skarpa</v>
      </c>
      <c r="G72" s="75" t="str">
        <f>IFERROR(__xludf.DUMMYFUNCTION("""COMPUTED_VALUE"""),"Lublin")</f>
        <v>Lublin</v>
      </c>
      <c r="M72" s="75" t="str">
        <f t="shared" si="2"/>
        <v>Pol-Inowex Skarpa Lublin     </v>
      </c>
    </row>
    <row r="73">
      <c r="A73" s="77">
        <v>19.0</v>
      </c>
      <c r="B73" s="8" t="s">
        <v>272</v>
      </c>
      <c r="C73" s="75" t="str">
        <f>IFERROR(__xludf.DUMMYFUNCTION("SPLIT(B73,"" "")"),"Kacper")</f>
        <v>Kacper</v>
      </c>
      <c r="D73" s="75" t="str">
        <f>IFERROR(__xludf.DUMMYFUNCTION("""COMPUTED_VALUE"""),"Blaszke")</f>
        <v>Blaszke</v>
      </c>
      <c r="E73" s="75" t="str">
        <f>IFERROR(__xludf.DUMMYFUNCTION("""COMPUTED_VALUE"""),"Klub")</f>
        <v>Klub</v>
      </c>
      <c r="F73" s="75" t="str">
        <f>IFERROR(__xludf.DUMMYFUNCTION("""COMPUTED_VALUE"""),"Sportowy")</f>
        <v>Sportowy</v>
      </c>
      <c r="G73" s="75" t="str">
        <f>IFERROR(__xludf.DUMMYFUNCTION("""COMPUTED_VALUE"""),"Skarpa")</f>
        <v>Skarpa</v>
      </c>
      <c r="H73" s="75" t="str">
        <f>IFERROR(__xludf.DUMMYFUNCTION("""COMPUTED_VALUE"""),"Bytom")</f>
        <v>Bytom</v>
      </c>
      <c r="M73" s="75" t="str">
        <f t="shared" si="2"/>
        <v>Klub Sportowy Skarpa Bytom    </v>
      </c>
    </row>
    <row r="74">
      <c r="M74" s="75" t="str">
        <f t="shared" si="2"/>
        <v>       </v>
      </c>
    </row>
    <row r="75">
      <c r="M75" s="75" t="str">
        <f t="shared" si="2"/>
        <v>       </v>
      </c>
    </row>
    <row r="76">
      <c r="B76" s="8" t="s">
        <v>273</v>
      </c>
      <c r="C76" s="76" t="str">
        <f>IFERROR(__xludf.DUMMYFUNCTION("SPLIT(B76,"" "")"),"JUNIORKI")</f>
        <v>JUNIORKI</v>
      </c>
      <c r="M76" s="75" t="str">
        <f t="shared" si="2"/>
        <v>       </v>
      </c>
    </row>
    <row r="77">
      <c r="A77" s="77">
        <v>1.0</v>
      </c>
      <c r="B77" s="77" t="s">
        <v>274</v>
      </c>
      <c r="C77" s="75" t="str">
        <f>IFERROR(__xludf.DUMMYFUNCTION("SPLIT(B77,"" "")"),"Daria")</f>
        <v>Daria</v>
      </c>
      <c r="D77" s="75" t="str">
        <f>IFERROR(__xludf.DUMMYFUNCTION("""COMPUTED_VALUE"""),"Marciniak")</f>
        <v>Marciniak</v>
      </c>
      <c r="E77" s="75" t="str">
        <f>IFERROR(__xludf.DUMMYFUNCTION("""COMPUTED_VALUE"""),"Łódzki")</f>
        <v>Łódzki</v>
      </c>
      <c r="F77" s="75" t="str">
        <f>IFERROR(__xludf.DUMMYFUNCTION("""COMPUTED_VALUE"""),"Klub")</f>
        <v>Klub</v>
      </c>
      <c r="G77" s="75" t="str">
        <f>IFERROR(__xludf.DUMMYFUNCTION("""COMPUTED_VALUE"""),"Wysokogórski")</f>
        <v>Wysokogórski</v>
      </c>
      <c r="M77" s="75" t="str">
        <f t="shared" si="2"/>
        <v>Łódzki Klub Wysokogórski     </v>
      </c>
    </row>
    <row r="78">
      <c r="A78" s="77">
        <v>2.0</v>
      </c>
      <c r="B78" s="77" t="s">
        <v>275</v>
      </c>
      <c r="C78" s="75" t="str">
        <f>IFERROR(__xludf.DUMMYFUNCTION("SPLIT(B78,"" "")"),"Arlena")</f>
        <v>Arlena</v>
      </c>
      <c r="D78" s="75" t="str">
        <f>IFERROR(__xludf.DUMMYFUNCTION("""COMPUTED_VALUE"""),"Sznajder")</f>
        <v>Sznajder</v>
      </c>
      <c r="E78" s="75" t="str">
        <f>IFERROR(__xludf.DUMMYFUNCTION("""COMPUTED_VALUE"""),"Klub")</f>
        <v>Klub</v>
      </c>
      <c r="F78" s="75" t="str">
        <f>IFERROR(__xludf.DUMMYFUNCTION("""COMPUTED_VALUE"""),"Wspinaczki")</f>
        <v>Wspinaczki</v>
      </c>
      <c r="G78" s="75" t="str">
        <f>IFERROR(__xludf.DUMMYFUNCTION("""COMPUTED_VALUE"""),"Sportowej")</f>
        <v>Sportowej</v>
      </c>
      <c r="H78" s="75" t="str">
        <f>IFERROR(__xludf.DUMMYFUNCTION("""COMPUTED_VALUE"""),"Klif")</f>
        <v>Klif</v>
      </c>
      <c r="I78" s="75" t="str">
        <f>IFERROR(__xludf.DUMMYFUNCTION("""COMPUTED_VALUE"""),"Tarnowskie")</f>
        <v>Tarnowskie</v>
      </c>
      <c r="J78" s="75" t="str">
        <f>IFERROR(__xludf.DUMMYFUNCTION("""COMPUTED_VALUE"""),"Góry")</f>
        <v>Góry</v>
      </c>
      <c r="M78" s="75" t="str">
        <f t="shared" si="2"/>
        <v>Klub Wspinaczki Sportowej Klif Tarnowskie Góry  </v>
      </c>
    </row>
    <row r="79">
      <c r="A79" s="77">
        <v>3.0</v>
      </c>
      <c r="B79" s="77" t="s">
        <v>276</v>
      </c>
      <c r="C79" s="75" t="str">
        <f>IFERROR(__xludf.DUMMYFUNCTION("SPLIT(B79,"" "")"),"Magdalena")</f>
        <v>Magdalena</v>
      </c>
      <c r="D79" s="75" t="str">
        <f>IFERROR(__xludf.DUMMYFUNCTION("""COMPUTED_VALUE"""),"Blachnicka")</f>
        <v>Blachnicka</v>
      </c>
      <c r="E79" s="75" t="str">
        <f>IFERROR(__xludf.DUMMYFUNCTION("""COMPUTED_VALUE"""),"Klub")</f>
        <v>Klub</v>
      </c>
      <c r="F79" s="75" t="str">
        <f>IFERROR(__xludf.DUMMYFUNCTION("""COMPUTED_VALUE"""),"Sportowy")</f>
        <v>Sportowy</v>
      </c>
      <c r="G79" s="75" t="str">
        <f>IFERROR(__xludf.DUMMYFUNCTION("""COMPUTED_VALUE"""),"Skarpa")</f>
        <v>Skarpa</v>
      </c>
      <c r="H79" s="75" t="str">
        <f>IFERROR(__xludf.DUMMYFUNCTION("""COMPUTED_VALUE"""),"Bytom")</f>
        <v>Bytom</v>
      </c>
      <c r="M79" s="75" t="str">
        <f t="shared" si="2"/>
        <v>Klub Sportowy Skarpa Bytom    </v>
      </c>
    </row>
    <row r="80">
      <c r="A80" s="77">
        <v>4.0</v>
      </c>
      <c r="B80" s="77" t="s">
        <v>277</v>
      </c>
      <c r="C80" s="75" t="str">
        <f>IFERROR(__xludf.DUMMYFUNCTION("SPLIT(B80,"" "")"),"Alicja")</f>
        <v>Alicja</v>
      </c>
      <c r="D80" s="75" t="str">
        <f>IFERROR(__xludf.DUMMYFUNCTION("""COMPUTED_VALUE"""),"Nowak")</f>
        <v>Nowak</v>
      </c>
      <c r="E80" s="75" t="str">
        <f>IFERROR(__xludf.DUMMYFUNCTION("""COMPUTED_VALUE"""),"KU")</f>
        <v>KU</v>
      </c>
      <c r="F80" s="75" t="str">
        <f>IFERROR(__xludf.DUMMYFUNCTION("""COMPUTED_VALUE"""),"AZS")</f>
        <v>AZS</v>
      </c>
      <c r="G80" s="75" t="str">
        <f>IFERROR(__xludf.DUMMYFUNCTION("""COMPUTED_VALUE"""),"PWSZ")</f>
        <v>PWSZ</v>
      </c>
      <c r="H80" s="75" t="str">
        <f>IFERROR(__xludf.DUMMYFUNCTION("""COMPUTED_VALUE"""),"Tarnów")</f>
        <v>Tarnów</v>
      </c>
      <c r="M80" s="75" t="str">
        <f t="shared" si="2"/>
        <v>KU AZS PWSZ Tarnów    </v>
      </c>
    </row>
    <row r="81">
      <c r="A81" s="77">
        <v>5.0</v>
      </c>
      <c r="B81" s="77" t="s">
        <v>278</v>
      </c>
      <c r="C81" s="75" t="str">
        <f>IFERROR(__xludf.DUMMYFUNCTION("SPLIT(B81,"" "")"),"Olimpia")</f>
        <v>Olimpia</v>
      </c>
      <c r="D81" s="75" t="str">
        <f>IFERROR(__xludf.DUMMYFUNCTION("""COMPUTED_VALUE"""),"Markisch")</f>
        <v>Markisch</v>
      </c>
      <c r="E81" s="75" t="str">
        <f>IFERROR(__xludf.DUMMYFUNCTION("""COMPUTED_VALUE"""),"Klub")</f>
        <v>Klub</v>
      </c>
      <c r="F81" s="75" t="str">
        <f>IFERROR(__xludf.DUMMYFUNCTION("""COMPUTED_VALUE"""),"Wspinaczki")</f>
        <v>Wspinaczki</v>
      </c>
      <c r="G81" s="75" t="str">
        <f>IFERROR(__xludf.DUMMYFUNCTION("""COMPUTED_VALUE"""),"Sportowej")</f>
        <v>Sportowej</v>
      </c>
      <c r="H81" s="75" t="str">
        <f>IFERROR(__xludf.DUMMYFUNCTION("""COMPUTED_VALUE"""),"Klif")</f>
        <v>Klif</v>
      </c>
      <c r="I81" s="75" t="str">
        <f>IFERROR(__xludf.DUMMYFUNCTION("""COMPUTED_VALUE"""),"Tarnowskie")</f>
        <v>Tarnowskie</v>
      </c>
      <c r="J81" s="75" t="str">
        <f>IFERROR(__xludf.DUMMYFUNCTION("""COMPUTED_VALUE"""),"Góry")</f>
        <v>Góry</v>
      </c>
      <c r="M81" s="75" t="str">
        <f t="shared" si="2"/>
        <v>Klub Wspinaczki Sportowej Klif Tarnowskie Góry  </v>
      </c>
    </row>
    <row r="82">
      <c r="A82" s="77">
        <v>6.0</v>
      </c>
      <c r="B82" s="77" t="s">
        <v>279</v>
      </c>
      <c r="C82" s="75" t="str">
        <f>IFERROR(__xludf.DUMMYFUNCTION("SPLIT(B82,"" "")"),"Natalia")</f>
        <v>Natalia</v>
      </c>
      <c r="D82" s="75" t="str">
        <f>IFERROR(__xludf.DUMMYFUNCTION("""COMPUTED_VALUE"""),"Chojnacka")</f>
        <v>Chojnacka</v>
      </c>
      <c r="E82" s="75" t="str">
        <f>IFERROR(__xludf.DUMMYFUNCTION("""COMPUTED_VALUE"""),"Łódzki")</f>
        <v>Łódzki</v>
      </c>
      <c r="F82" s="75" t="str">
        <f>IFERROR(__xludf.DUMMYFUNCTION("""COMPUTED_VALUE"""),"Klub")</f>
        <v>Klub</v>
      </c>
      <c r="G82" s="75" t="str">
        <f>IFERROR(__xludf.DUMMYFUNCTION("""COMPUTED_VALUE"""),"Wysokogórski")</f>
        <v>Wysokogórski</v>
      </c>
      <c r="M82" s="75" t="str">
        <f t="shared" si="2"/>
        <v>Łódzki Klub Wysokogórski     </v>
      </c>
    </row>
    <row r="83">
      <c r="A83" s="77">
        <v>7.0</v>
      </c>
      <c r="B83" s="77" t="s">
        <v>280</v>
      </c>
      <c r="C83" s="75" t="str">
        <f>IFERROR(__xludf.DUMMYFUNCTION("SPLIT(B83,"" "")"),"Antonina")</f>
        <v>Antonina</v>
      </c>
      <c r="D83" s="75" t="str">
        <f>IFERROR(__xludf.DUMMYFUNCTION("""COMPUTED_VALUE"""),"Bujak")</f>
        <v>Bujak</v>
      </c>
      <c r="E83" s="75" t="str">
        <f>IFERROR(__xludf.DUMMYFUNCTION("""COMPUTED_VALUE"""),"Pol-Inowex")</f>
        <v>Pol-Inowex</v>
      </c>
      <c r="F83" s="75" t="str">
        <f>IFERROR(__xludf.DUMMYFUNCTION("""COMPUTED_VALUE"""),"Skarpa")</f>
        <v>Skarpa</v>
      </c>
      <c r="G83" s="75" t="str">
        <f>IFERROR(__xludf.DUMMYFUNCTION("""COMPUTED_VALUE"""),"Lublin")</f>
        <v>Lublin</v>
      </c>
      <c r="M83" s="75" t="str">
        <f t="shared" si="2"/>
        <v>Pol-Inowex Skarpa Lublin     </v>
      </c>
    </row>
    <row r="84">
      <c r="M84" s="75" t="str">
        <f t="shared" si="2"/>
        <v>       </v>
      </c>
    </row>
    <row r="85">
      <c r="M85" s="75" t="str">
        <f t="shared" si="2"/>
        <v>       </v>
      </c>
    </row>
    <row r="86">
      <c r="B86" s="8" t="s">
        <v>281</v>
      </c>
      <c r="C86" s="76" t="str">
        <f>IFERROR(__xludf.DUMMYFUNCTION("SPLIT(B86,"" "")"),"JUNIORZY")</f>
        <v>JUNIORZY</v>
      </c>
      <c r="M86" s="75" t="str">
        <f t="shared" si="2"/>
        <v>       </v>
      </c>
    </row>
    <row r="87">
      <c r="A87" s="77">
        <v>1.0</v>
      </c>
      <c r="B87" s="77" t="s">
        <v>282</v>
      </c>
      <c r="C87" s="75" t="str">
        <f>IFERROR(__xludf.DUMMYFUNCTION("SPLIT(B87,"" "")"),"Błażej")</f>
        <v>Błażej</v>
      </c>
      <c r="D87" s="75" t="str">
        <f>IFERROR(__xludf.DUMMYFUNCTION("""COMPUTED_VALUE"""),"Kosmalski")</f>
        <v>Kosmalski</v>
      </c>
      <c r="E87" s="75" t="str">
        <f>IFERROR(__xludf.DUMMYFUNCTION("""COMPUTED_VALUE"""),"Łódzki")</f>
        <v>Łódzki</v>
      </c>
      <c r="F87" s="75" t="str">
        <f>IFERROR(__xludf.DUMMYFUNCTION("""COMPUTED_VALUE"""),"Klub")</f>
        <v>Klub</v>
      </c>
      <c r="G87" s="75" t="str">
        <f>IFERROR(__xludf.DUMMYFUNCTION("""COMPUTED_VALUE"""),"Wysokogórski")</f>
        <v>Wysokogórski</v>
      </c>
      <c r="M87" s="75" t="str">
        <f t="shared" si="2"/>
        <v>Łódzki Klub Wysokogórski     </v>
      </c>
    </row>
    <row r="88">
      <c r="A88" s="77">
        <v>2.0</v>
      </c>
      <c r="B88" s="77" t="s">
        <v>283</v>
      </c>
      <c r="C88" s="75" t="str">
        <f>IFERROR(__xludf.DUMMYFUNCTION("SPLIT(B88,"" "")"),"Oskar")</f>
        <v>Oskar</v>
      </c>
      <c r="D88" s="75" t="str">
        <f>IFERROR(__xludf.DUMMYFUNCTION("""COMPUTED_VALUE"""),"Szalecki")</f>
        <v>Szalecki</v>
      </c>
      <c r="E88" s="75" t="str">
        <f>IFERROR(__xludf.DUMMYFUNCTION("""COMPUTED_VALUE"""),"KU")</f>
        <v>KU</v>
      </c>
      <c r="F88" s="75" t="str">
        <f>IFERROR(__xludf.DUMMYFUNCTION("""COMPUTED_VALUE"""),"AZS")</f>
        <v>AZS</v>
      </c>
      <c r="G88" s="75" t="str">
        <f>IFERROR(__xludf.DUMMYFUNCTION("""COMPUTED_VALUE"""),"PWSZ")</f>
        <v>PWSZ</v>
      </c>
      <c r="H88" s="75" t="str">
        <f>IFERROR(__xludf.DUMMYFUNCTION("""COMPUTED_VALUE"""),"Tarnów")</f>
        <v>Tarnów</v>
      </c>
      <c r="M88" s="75" t="str">
        <f t="shared" si="2"/>
        <v>KU AZS PWSZ Tarnów    </v>
      </c>
    </row>
    <row r="89">
      <c r="A89" s="77">
        <v>3.0</v>
      </c>
      <c r="B89" s="77" t="s">
        <v>284</v>
      </c>
      <c r="C89" s="75" t="str">
        <f>IFERROR(__xludf.DUMMYFUNCTION("SPLIT(B89,"" "")"),"Szymon")</f>
        <v>Szymon</v>
      </c>
      <c r="D89" s="75" t="str">
        <f>IFERROR(__xludf.DUMMYFUNCTION("""COMPUTED_VALUE"""),"Dąbrowski")</f>
        <v>Dąbrowski</v>
      </c>
      <c r="E89" s="75" t="str">
        <f>IFERROR(__xludf.DUMMYFUNCTION("""COMPUTED_VALUE"""),"Murall")</f>
        <v>Murall</v>
      </c>
      <c r="F89" s="75" t="str">
        <f>IFERROR(__xludf.DUMMYFUNCTION("""COMPUTED_VALUE"""),"UKA")</f>
        <v>UKA</v>
      </c>
      <c r="M89" s="75" t="str">
        <f t="shared" si="2"/>
        <v>Murall UKA      </v>
      </c>
    </row>
    <row r="90">
      <c r="A90" s="77">
        <v>4.0</v>
      </c>
      <c r="B90" s="77" t="s">
        <v>285</v>
      </c>
      <c r="C90" s="75" t="str">
        <f>IFERROR(__xludf.DUMMYFUNCTION("SPLIT(B90,"" "")"),"Jerzy")</f>
        <v>Jerzy</v>
      </c>
      <c r="D90" s="75" t="str">
        <f>IFERROR(__xludf.DUMMYFUNCTION("""COMPUTED_VALUE"""),"Panenka")</f>
        <v>Panenka</v>
      </c>
      <c r="E90" s="75" t="str">
        <f>IFERROR(__xludf.DUMMYFUNCTION("""COMPUTED_VALUE"""),"Klub")</f>
        <v>Klub</v>
      </c>
      <c r="F90" s="75" t="str">
        <f>IFERROR(__xludf.DUMMYFUNCTION("""COMPUTED_VALUE"""),"Sportowy")</f>
        <v>Sportowy</v>
      </c>
      <c r="G90" s="75" t="str">
        <f>IFERROR(__xludf.DUMMYFUNCTION("""COMPUTED_VALUE"""),"Alpika")</f>
        <v>Alpika</v>
      </c>
      <c r="M90" s="75" t="str">
        <f t="shared" si="2"/>
        <v>Klub Sportowy Alpika     </v>
      </c>
    </row>
    <row r="91">
      <c r="A91" s="77">
        <v>5.0</v>
      </c>
      <c r="B91" s="77" t="s">
        <v>286</v>
      </c>
      <c r="C91" s="75" t="str">
        <f>IFERROR(__xludf.DUMMYFUNCTION("SPLIT(B91,"" "")"),"Patryk")</f>
        <v>Patryk</v>
      </c>
      <c r="D91" s="75" t="str">
        <f>IFERROR(__xludf.DUMMYFUNCTION("""COMPUTED_VALUE"""),"Ruzicki")</f>
        <v>Ruzicki</v>
      </c>
      <c r="E91" s="75" t="str">
        <f>IFERROR(__xludf.DUMMYFUNCTION("""COMPUTED_VALUE"""),"Łódzki")</f>
        <v>Łódzki</v>
      </c>
      <c r="F91" s="75" t="str">
        <f>IFERROR(__xludf.DUMMYFUNCTION("""COMPUTED_VALUE"""),"Klub")</f>
        <v>Klub</v>
      </c>
      <c r="G91" s="75" t="str">
        <f>IFERROR(__xludf.DUMMYFUNCTION("""COMPUTED_VALUE"""),"Wysokogórski")</f>
        <v>Wysokogórski</v>
      </c>
      <c r="M91" s="75" t="str">
        <f t="shared" si="2"/>
        <v>Łódzki Klub Wysokogórski     </v>
      </c>
    </row>
    <row r="92">
      <c r="A92" s="77">
        <v>6.0</v>
      </c>
      <c r="B92" s="77" t="s">
        <v>287</v>
      </c>
      <c r="C92" s="75" t="str">
        <f>IFERROR(__xludf.DUMMYFUNCTION("SPLIT(B92,"" "")"),"Antoni")</f>
        <v>Antoni</v>
      </c>
      <c r="D92" s="75" t="str">
        <f>IFERROR(__xludf.DUMMYFUNCTION("""COMPUTED_VALUE"""),"Bąbel")</f>
        <v>Bąbel</v>
      </c>
      <c r="E92" s="75" t="str">
        <f>IFERROR(__xludf.DUMMYFUNCTION("""COMPUTED_VALUE"""),"Speleoklub")</f>
        <v>Speleoklub</v>
      </c>
      <c r="F92" s="75" t="str">
        <f>IFERROR(__xludf.DUMMYFUNCTION("""COMPUTED_VALUE"""),"Świętokrzyski")</f>
        <v>Świętokrzyski</v>
      </c>
      <c r="M92" s="75" t="str">
        <f t="shared" si="2"/>
        <v>Speleoklub Świętokrzyski      </v>
      </c>
    </row>
    <row r="93">
      <c r="A93" s="77">
        <v>7.0</v>
      </c>
      <c r="B93" s="8" t="s">
        <v>288</v>
      </c>
      <c r="C93" s="75" t="str">
        <f>IFERROR(__xludf.DUMMYFUNCTION("SPLIT(B93,"" "")"),"Krzysztof")</f>
        <v>Krzysztof</v>
      </c>
      <c r="D93" s="75" t="str">
        <f>IFERROR(__xludf.DUMMYFUNCTION("""COMPUTED_VALUE"""),"Rymek")</f>
        <v>Rymek</v>
      </c>
      <c r="E93" s="75" t="str">
        <f>IFERROR(__xludf.DUMMYFUNCTION("""COMPUTED_VALUE"""),"MKS")</f>
        <v>MKS</v>
      </c>
      <c r="F93" s="75" t="str">
        <f>IFERROR(__xludf.DUMMYFUNCTION("""COMPUTED_VALUE"""),"Pałac")</f>
        <v>Pałac</v>
      </c>
      <c r="G93" s="75" t="str">
        <f>IFERROR(__xludf.DUMMYFUNCTION("""COMPUTED_VALUE"""),"Młodzieży")</f>
        <v>Młodzieży</v>
      </c>
      <c r="H93" s="75" t="str">
        <f>IFERROR(__xludf.DUMMYFUNCTION("""COMPUTED_VALUE"""),"w")</f>
        <v>w</v>
      </c>
      <c r="I93" s="75" t="str">
        <f>IFERROR(__xludf.DUMMYFUNCTION("""COMPUTED_VALUE"""),"Tarnowie")</f>
        <v>Tarnowie</v>
      </c>
      <c r="M93" s="75" t="str">
        <f t="shared" si="2"/>
        <v>MKS Pałac Młodzieży w Tarnowie   </v>
      </c>
    </row>
    <row r="94">
      <c r="M94" s="75" t="str">
        <f t="shared" si="2"/>
        <v>       </v>
      </c>
    </row>
    <row r="95">
      <c r="M95" s="75" t="str">
        <f t="shared" si="2"/>
        <v>       </v>
      </c>
    </row>
    <row r="96">
      <c r="B96" s="8" t="s">
        <v>289</v>
      </c>
      <c r="C96" s="76" t="str">
        <f>IFERROR(__xludf.DUMMYFUNCTION("SPLIT(B96,"" "")"),"MŁODZIEŻÓWKI")</f>
        <v>MŁODZIEŻÓWKI</v>
      </c>
      <c r="M96" s="75" t="str">
        <f t="shared" si="2"/>
        <v>       </v>
      </c>
    </row>
    <row r="97">
      <c r="A97" s="8">
        <v>1.0</v>
      </c>
      <c r="B97" s="77" t="s">
        <v>290</v>
      </c>
      <c r="C97" s="75" t="str">
        <f>IFERROR(__xludf.DUMMYFUNCTION("SPLIT(B97,"" "")"),"Daria")</f>
        <v>Daria</v>
      </c>
      <c r="D97" s="75" t="str">
        <f>IFERROR(__xludf.DUMMYFUNCTION("""COMPUTED_VALUE"""),"Nawój")</f>
        <v>Nawój</v>
      </c>
      <c r="E97" s="75" t="str">
        <f>IFERROR(__xludf.DUMMYFUNCTION("""COMPUTED_VALUE"""),"Klub")</f>
        <v>Klub</v>
      </c>
      <c r="F97" s="75" t="str">
        <f>IFERROR(__xludf.DUMMYFUNCTION("""COMPUTED_VALUE"""),"Sportowy")</f>
        <v>Sportowy</v>
      </c>
      <c r="G97" s="75" t="str">
        <f>IFERROR(__xludf.DUMMYFUNCTION("""COMPUTED_VALUE"""),"Sportiva")</f>
        <v>Sportiva</v>
      </c>
      <c r="H97" s="75" t="str">
        <f>IFERROR(__xludf.DUMMYFUNCTION("""COMPUTED_VALUE"""),"Tarnów")</f>
        <v>Tarnów</v>
      </c>
      <c r="M97" s="75" t="str">
        <f t="shared" si="2"/>
        <v>Klub Sportowy Sportiva Tarnów    </v>
      </c>
    </row>
    <row r="98">
      <c r="A98" s="8">
        <v>2.0</v>
      </c>
      <c r="B98" s="77" t="s">
        <v>291</v>
      </c>
      <c r="C98" s="75" t="str">
        <f>IFERROR(__xludf.DUMMYFUNCTION("SPLIT(B98,"" "")"),"Maria")</f>
        <v>Maria</v>
      </c>
      <c r="D98" s="75" t="str">
        <f>IFERROR(__xludf.DUMMYFUNCTION("""COMPUTED_VALUE"""),"Szwed")</f>
        <v>Szwed</v>
      </c>
      <c r="E98" s="75" t="str">
        <f>IFERROR(__xludf.DUMMYFUNCTION("""COMPUTED_VALUE"""),"Pol-Inowex")</f>
        <v>Pol-Inowex</v>
      </c>
      <c r="F98" s="75" t="str">
        <f>IFERROR(__xludf.DUMMYFUNCTION("""COMPUTED_VALUE"""),"Skarpa")</f>
        <v>Skarpa</v>
      </c>
      <c r="G98" s="75" t="str">
        <f>IFERROR(__xludf.DUMMYFUNCTION("""COMPUTED_VALUE"""),"Lublin")</f>
        <v>Lublin</v>
      </c>
      <c r="M98" s="75" t="str">
        <f t="shared" si="2"/>
        <v>Pol-Inowex Skarpa Lublin     </v>
      </c>
    </row>
    <row r="99">
      <c r="A99" s="8">
        <v>3.0</v>
      </c>
      <c r="B99" s="77" t="s">
        <v>292</v>
      </c>
      <c r="C99" s="75" t="str">
        <f>IFERROR(__xludf.DUMMYFUNCTION("SPLIT(B99,"" "")"),"Bianka")</f>
        <v>Bianka</v>
      </c>
      <c r="D99" s="75" t="str">
        <f>IFERROR(__xludf.DUMMYFUNCTION("""COMPUTED_VALUE"""),"Janecka")</f>
        <v>Janecka</v>
      </c>
      <c r="E99" s="75" t="str">
        <f>IFERROR(__xludf.DUMMYFUNCTION("""COMPUTED_VALUE"""),"Klub")</f>
        <v>Klub</v>
      </c>
      <c r="F99" s="75" t="str">
        <f>IFERROR(__xludf.DUMMYFUNCTION("""COMPUTED_VALUE"""),"Wysokogórski")</f>
        <v>Wysokogórski</v>
      </c>
      <c r="G99" s="75" t="str">
        <f>IFERROR(__xludf.DUMMYFUNCTION("""COMPUTED_VALUE"""),"Częstochowa")</f>
        <v>Częstochowa</v>
      </c>
      <c r="M99" s="75" t="str">
        <f t="shared" si="2"/>
        <v>Klub Wysokogórski Częstochowa     </v>
      </c>
    </row>
    <row r="100">
      <c r="M100" s="75" t="str">
        <f t="shared" si="2"/>
        <v>       </v>
      </c>
    </row>
    <row r="101">
      <c r="M101" s="75" t="str">
        <f t="shared" si="2"/>
        <v>       </v>
      </c>
    </row>
    <row r="102">
      <c r="B102" s="8" t="s">
        <v>293</v>
      </c>
      <c r="C102" s="76" t="str">
        <f>IFERROR(__xludf.DUMMYFUNCTION("SPLIT(B102,"" "")"),"MŁODZIEŻOWCY")</f>
        <v>MŁODZIEŻOWCY</v>
      </c>
      <c r="M102" s="75" t="str">
        <f t="shared" si="2"/>
        <v>       </v>
      </c>
    </row>
    <row r="103">
      <c r="A103" s="8">
        <v>1.0</v>
      </c>
      <c r="B103" s="77" t="s">
        <v>294</v>
      </c>
      <c r="C103" s="75" t="str">
        <f>IFERROR(__xludf.DUMMYFUNCTION("SPLIT(B103,"" "")"),"Jan")</f>
        <v>Jan</v>
      </c>
      <c r="D103" s="75" t="str">
        <f>IFERROR(__xludf.DUMMYFUNCTION("""COMPUTED_VALUE"""),"Tkaczyk")</f>
        <v>Tkaczyk</v>
      </c>
      <c r="E103" s="75" t="str">
        <f>IFERROR(__xludf.DUMMYFUNCTION("""COMPUTED_VALUE"""),"Pol-Inowex")</f>
        <v>Pol-Inowex</v>
      </c>
      <c r="F103" s="75" t="str">
        <f>IFERROR(__xludf.DUMMYFUNCTION("""COMPUTED_VALUE"""),"Skarpa")</f>
        <v>Skarpa</v>
      </c>
      <c r="G103" s="75" t="str">
        <f>IFERROR(__xludf.DUMMYFUNCTION("""COMPUTED_VALUE"""),"Lublin")</f>
        <v>Lublin</v>
      </c>
      <c r="M103" s="75" t="str">
        <f t="shared" si="2"/>
        <v>Pol-Inowex Skarpa Lublin     </v>
      </c>
    </row>
    <row r="104">
      <c r="A104" s="8">
        <v>2.0</v>
      </c>
      <c r="B104" s="77" t="s">
        <v>295</v>
      </c>
      <c r="C104" s="75" t="str">
        <f>IFERROR(__xludf.DUMMYFUNCTION("SPLIT(B104,"" "")"),"Jan")</f>
        <v>Jan</v>
      </c>
      <c r="D104" s="75" t="str">
        <f>IFERROR(__xludf.DUMMYFUNCTION("""COMPUTED_VALUE"""),"Kroszka")</f>
        <v>Kroszka</v>
      </c>
      <c r="E104" s="75" t="str">
        <f>IFERROR(__xludf.DUMMYFUNCTION("""COMPUTED_VALUE"""),"Klub")</f>
        <v>Klub</v>
      </c>
      <c r="F104" s="75" t="str">
        <f>IFERROR(__xludf.DUMMYFUNCTION("""COMPUTED_VALUE"""),"Wspinaczki")</f>
        <v>Wspinaczki</v>
      </c>
      <c r="G104" s="75" t="str">
        <f>IFERROR(__xludf.DUMMYFUNCTION("""COMPUTED_VALUE"""),"Sportowej")</f>
        <v>Sportowej</v>
      </c>
      <c r="H104" s="75" t="str">
        <f>IFERROR(__xludf.DUMMYFUNCTION("""COMPUTED_VALUE"""),"Klif")</f>
        <v>Klif</v>
      </c>
      <c r="I104" s="75" t="str">
        <f>IFERROR(__xludf.DUMMYFUNCTION("""COMPUTED_VALUE"""),"Tarnowskie")</f>
        <v>Tarnowskie</v>
      </c>
      <c r="J104" s="75" t="str">
        <f>IFERROR(__xludf.DUMMYFUNCTION("""COMPUTED_VALUE"""),"Góry")</f>
        <v>Góry</v>
      </c>
      <c r="M104" s="75" t="str">
        <f t="shared" si="2"/>
        <v>Klub Wspinaczki Sportowej Klif Tarnowskie Góry  </v>
      </c>
    </row>
    <row r="105">
      <c r="A105" s="8">
        <v>3.0</v>
      </c>
      <c r="B105" s="77" t="s">
        <v>296</v>
      </c>
      <c r="C105" s="75" t="str">
        <f>IFERROR(__xludf.DUMMYFUNCTION("SPLIT(B105,"" "")"),"Ernest")</f>
        <v>Ernest</v>
      </c>
      <c r="D105" s="75" t="str">
        <f>IFERROR(__xludf.DUMMYFUNCTION("""COMPUTED_VALUE"""),"Strączyński")</f>
        <v>Strączyński</v>
      </c>
      <c r="E105" s="75" t="str">
        <f>IFERROR(__xludf.DUMMYFUNCTION("""COMPUTED_VALUE"""),"Klub")</f>
        <v>Klub</v>
      </c>
      <c r="F105" s="75" t="str">
        <f>IFERROR(__xludf.DUMMYFUNCTION("""COMPUTED_VALUE"""),"Wysokogórski")</f>
        <v>Wysokogórski</v>
      </c>
      <c r="G105" s="75" t="str">
        <f>IFERROR(__xludf.DUMMYFUNCTION("""COMPUTED_VALUE"""),"Częstochowa")</f>
        <v>Częstochowa</v>
      </c>
      <c r="M105" s="75" t="str">
        <f t="shared" si="2"/>
        <v>Klub Wysokogórski Częstochowa     </v>
      </c>
    </row>
    <row r="106">
      <c r="M106" s="75" t="str">
        <f t="shared" si="2"/>
        <v>       </v>
      </c>
    </row>
    <row r="107">
      <c r="M107" s="75" t="str">
        <f t="shared" si="2"/>
        <v>       </v>
      </c>
    </row>
    <row r="108">
      <c r="B108" s="8" t="s">
        <v>297</v>
      </c>
      <c r="C108" s="76" t="str">
        <f>IFERROR(__xludf.DUMMYFUNCTION("SPLIT(B108,"" "")"),"SENIORKI")</f>
        <v>SENIORKI</v>
      </c>
      <c r="M108" s="75" t="str">
        <f t="shared" si="2"/>
        <v>       </v>
      </c>
    </row>
    <row r="109">
      <c r="A109" s="77">
        <v>1.0</v>
      </c>
      <c r="B109" s="77" t="s">
        <v>298</v>
      </c>
      <c r="C109" s="75" t="str">
        <f>IFERROR(__xludf.DUMMYFUNCTION("SPLIT(B109,"" "")"),"Aleksandra")</f>
        <v>Aleksandra</v>
      </c>
      <c r="D109" s="75" t="str">
        <f>IFERROR(__xludf.DUMMYFUNCTION("""COMPUTED_VALUE"""),"Mirosław")</f>
        <v>Mirosław</v>
      </c>
      <c r="E109" s="75" t="str">
        <f>IFERROR(__xludf.DUMMYFUNCTION("""COMPUTED_VALUE"""),"Klub")</f>
        <v>Klub</v>
      </c>
      <c r="F109" s="75" t="str">
        <f>IFERROR(__xludf.DUMMYFUNCTION("""COMPUTED_VALUE"""),"Wspinaczkowy")</f>
        <v>Wspinaczkowy</v>
      </c>
      <c r="G109" s="75" t="str">
        <f>IFERROR(__xludf.DUMMYFUNCTION("""COMPUTED_VALUE"""),"Kotłownia")</f>
        <v>Kotłownia</v>
      </c>
      <c r="M109" s="75" t="str">
        <f t="shared" si="2"/>
        <v>Klub Wspinaczkowy Kotłownia     </v>
      </c>
    </row>
    <row r="110">
      <c r="A110" s="77">
        <v>2.0</v>
      </c>
      <c r="B110" s="77" t="s">
        <v>299</v>
      </c>
      <c r="C110" s="75" t="str">
        <f>IFERROR(__xludf.DUMMYFUNCTION("SPLIT(B110,"" "")"),"Natalia")</f>
        <v>Natalia</v>
      </c>
      <c r="D110" s="75" t="str">
        <f>IFERROR(__xludf.DUMMYFUNCTION("""COMPUTED_VALUE"""),"Kałucka")</f>
        <v>Kałucka</v>
      </c>
      <c r="E110" s="75" t="str">
        <f>IFERROR(__xludf.DUMMYFUNCTION("""COMPUTED_VALUE"""),"KU")</f>
        <v>KU</v>
      </c>
      <c r="F110" s="75" t="str">
        <f>IFERROR(__xludf.DUMMYFUNCTION("""COMPUTED_VALUE"""),"AZS")</f>
        <v>AZS</v>
      </c>
      <c r="G110" s="75" t="str">
        <f>IFERROR(__xludf.DUMMYFUNCTION("""COMPUTED_VALUE"""),"PWSZ")</f>
        <v>PWSZ</v>
      </c>
      <c r="H110" s="75" t="str">
        <f>IFERROR(__xludf.DUMMYFUNCTION("""COMPUTED_VALUE"""),"Tarnów")</f>
        <v>Tarnów</v>
      </c>
      <c r="M110" s="75" t="str">
        <f t="shared" si="2"/>
        <v>KU AZS PWSZ Tarnów    </v>
      </c>
    </row>
    <row r="111">
      <c r="A111" s="77">
        <v>3.0</v>
      </c>
      <c r="B111" s="77" t="s">
        <v>300</v>
      </c>
      <c r="C111" s="75" t="str">
        <f>IFERROR(__xludf.DUMMYFUNCTION("SPLIT(B111,"" "")"),"Aleksandra")</f>
        <v>Aleksandra</v>
      </c>
      <c r="D111" s="75" t="str">
        <f>IFERROR(__xludf.DUMMYFUNCTION("""COMPUTED_VALUE"""),"Kałucka")</f>
        <v>Kałucka</v>
      </c>
      <c r="E111" s="75" t="str">
        <f>IFERROR(__xludf.DUMMYFUNCTION("""COMPUTED_VALUE"""),"KU")</f>
        <v>KU</v>
      </c>
      <c r="F111" s="75" t="str">
        <f>IFERROR(__xludf.DUMMYFUNCTION("""COMPUTED_VALUE"""),"AZS")</f>
        <v>AZS</v>
      </c>
      <c r="G111" s="75" t="str">
        <f>IFERROR(__xludf.DUMMYFUNCTION("""COMPUTED_VALUE"""),"PWSZ")</f>
        <v>PWSZ</v>
      </c>
      <c r="H111" s="75" t="str">
        <f>IFERROR(__xludf.DUMMYFUNCTION("""COMPUTED_VALUE"""),"Tarnów")</f>
        <v>Tarnów</v>
      </c>
      <c r="M111" s="75" t="str">
        <f t="shared" si="2"/>
        <v>KU AZS PWSZ Tarnów    </v>
      </c>
    </row>
    <row r="112">
      <c r="A112" s="77">
        <v>4.0</v>
      </c>
      <c r="B112" s="77" t="s">
        <v>301</v>
      </c>
      <c r="C112" s="75" t="str">
        <f>IFERROR(__xludf.DUMMYFUNCTION("SPLIT(B112,"" "")"),"Anna")</f>
        <v>Anna</v>
      </c>
      <c r="D112" s="75" t="str">
        <f>IFERROR(__xludf.DUMMYFUNCTION("""COMPUTED_VALUE"""),"Brożek")</f>
        <v>Brożek</v>
      </c>
      <c r="E112" s="75" t="str">
        <f>IFERROR(__xludf.DUMMYFUNCTION("""COMPUTED_VALUE"""),"KU")</f>
        <v>KU</v>
      </c>
      <c r="F112" s="75" t="str">
        <f>IFERROR(__xludf.DUMMYFUNCTION("""COMPUTED_VALUE"""),"AZS")</f>
        <v>AZS</v>
      </c>
      <c r="G112" s="75" t="str">
        <f>IFERROR(__xludf.DUMMYFUNCTION("""COMPUTED_VALUE"""),"PWSZ")</f>
        <v>PWSZ</v>
      </c>
      <c r="H112" s="75" t="str">
        <f>IFERROR(__xludf.DUMMYFUNCTION("""COMPUTED_VALUE"""),"Tarnów")</f>
        <v>Tarnów</v>
      </c>
      <c r="M112" s="75" t="str">
        <f t="shared" si="2"/>
        <v>KU AZS PWSZ Tarnów    </v>
      </c>
    </row>
    <row r="113">
      <c r="A113" s="77">
        <v>5.0</v>
      </c>
      <c r="B113" s="77" t="s">
        <v>302</v>
      </c>
      <c r="C113" s="75" t="str">
        <f>IFERROR(__xludf.DUMMYFUNCTION("SPLIT(B113,"" "")"),"Patrycja")</f>
        <v>Patrycja</v>
      </c>
      <c r="D113" s="75" t="str">
        <f>IFERROR(__xludf.DUMMYFUNCTION("""COMPUTED_VALUE"""),"Chudziak")</f>
        <v>Chudziak</v>
      </c>
      <c r="E113" s="75" t="str">
        <f>IFERROR(__xludf.DUMMYFUNCTION("""COMPUTED_VALUE"""),"Klub")</f>
        <v>Klub</v>
      </c>
      <c r="F113" s="75" t="str">
        <f>IFERROR(__xludf.DUMMYFUNCTION("""COMPUTED_VALUE"""),"Uczelniany")</f>
        <v>Uczelniany</v>
      </c>
      <c r="G113" s="75" t="str">
        <f>IFERROR(__xludf.DUMMYFUNCTION("""COMPUTED_VALUE"""),"AZS")</f>
        <v>AZS</v>
      </c>
      <c r="H113" s="75" t="str">
        <f>IFERROR(__xludf.DUMMYFUNCTION("""COMPUTED_VALUE"""),"Uniwersytetu")</f>
        <v>Uniwersytetu</v>
      </c>
      <c r="I113" s="75" t="str">
        <f>IFERROR(__xludf.DUMMYFUNCTION("""COMPUTED_VALUE"""),"Warszawskiego")</f>
        <v>Warszawskiego</v>
      </c>
      <c r="M113" s="75" t="str">
        <f t="shared" si="2"/>
        <v>Klub Uczelniany AZS Uniwersytetu Warszawskiego   </v>
      </c>
    </row>
    <row r="114">
      <c r="A114" s="77">
        <v>6.0</v>
      </c>
      <c r="B114" s="77" t="s">
        <v>303</v>
      </c>
      <c r="C114" s="75" t="str">
        <f>IFERROR(__xludf.DUMMYFUNCTION("SPLIT(B114,"" "")"),"Agata")</f>
        <v>Agata</v>
      </c>
      <c r="D114" s="75" t="str">
        <f>IFERROR(__xludf.DUMMYFUNCTION("""COMPUTED_VALUE"""),"Lesiewicz")</f>
        <v>Lesiewicz</v>
      </c>
      <c r="E114" s="75" t="str">
        <f>IFERROR(__xludf.DUMMYFUNCTION("""COMPUTED_VALUE"""),"Pol-Inowex")</f>
        <v>Pol-Inowex</v>
      </c>
      <c r="F114" s="75" t="str">
        <f>IFERROR(__xludf.DUMMYFUNCTION("""COMPUTED_VALUE"""),"Skarpa")</f>
        <v>Skarpa</v>
      </c>
      <c r="G114" s="75" t="str">
        <f>IFERROR(__xludf.DUMMYFUNCTION("""COMPUTED_VALUE"""),"Lublin")</f>
        <v>Lublin</v>
      </c>
      <c r="M114" s="75" t="str">
        <f t="shared" si="2"/>
        <v>Pol-Inowex Skarpa Lublin     </v>
      </c>
    </row>
    <row r="115">
      <c r="A115" s="77">
        <v>7.0</v>
      </c>
      <c r="B115" s="77" t="s">
        <v>274</v>
      </c>
      <c r="C115" s="75" t="str">
        <f>IFERROR(__xludf.DUMMYFUNCTION("SPLIT(B115,"" "")"),"Daria")</f>
        <v>Daria</v>
      </c>
      <c r="D115" s="75" t="str">
        <f>IFERROR(__xludf.DUMMYFUNCTION("""COMPUTED_VALUE"""),"Marciniak")</f>
        <v>Marciniak</v>
      </c>
      <c r="E115" s="75" t="str">
        <f>IFERROR(__xludf.DUMMYFUNCTION("""COMPUTED_VALUE"""),"Łódzki")</f>
        <v>Łódzki</v>
      </c>
      <c r="F115" s="75" t="str">
        <f>IFERROR(__xludf.DUMMYFUNCTION("""COMPUTED_VALUE"""),"Klub")</f>
        <v>Klub</v>
      </c>
      <c r="G115" s="75" t="str">
        <f>IFERROR(__xludf.DUMMYFUNCTION("""COMPUTED_VALUE"""),"Wysokogórski")</f>
        <v>Wysokogórski</v>
      </c>
      <c r="M115" s="75" t="str">
        <f t="shared" si="2"/>
        <v>Łódzki Klub Wysokogórski     </v>
      </c>
    </row>
    <row r="116">
      <c r="A116" s="77">
        <v>8.0</v>
      </c>
      <c r="B116" s="77" t="s">
        <v>276</v>
      </c>
      <c r="C116" s="75" t="str">
        <f>IFERROR(__xludf.DUMMYFUNCTION("SPLIT(B116,"" "")"),"Magdalena")</f>
        <v>Magdalena</v>
      </c>
      <c r="D116" s="75" t="str">
        <f>IFERROR(__xludf.DUMMYFUNCTION("""COMPUTED_VALUE"""),"Blachnicka")</f>
        <v>Blachnicka</v>
      </c>
      <c r="E116" s="75" t="str">
        <f>IFERROR(__xludf.DUMMYFUNCTION("""COMPUTED_VALUE"""),"Klub")</f>
        <v>Klub</v>
      </c>
      <c r="F116" s="75" t="str">
        <f>IFERROR(__xludf.DUMMYFUNCTION("""COMPUTED_VALUE"""),"Sportowy")</f>
        <v>Sportowy</v>
      </c>
      <c r="G116" s="75" t="str">
        <f>IFERROR(__xludf.DUMMYFUNCTION("""COMPUTED_VALUE"""),"Skarpa")</f>
        <v>Skarpa</v>
      </c>
      <c r="H116" s="75" t="str">
        <f>IFERROR(__xludf.DUMMYFUNCTION("""COMPUTED_VALUE"""),"Bytom")</f>
        <v>Bytom</v>
      </c>
      <c r="M116" s="75" t="str">
        <f t="shared" si="2"/>
        <v>Klub Sportowy Skarpa Bytom    </v>
      </c>
    </row>
    <row r="117" hidden="1">
      <c r="A117" s="77">
        <v>9.0</v>
      </c>
      <c r="B117" s="77" t="s">
        <v>304</v>
      </c>
      <c r="C117" s="75" t="str">
        <f>IFERROR(__xludf.DUMMYFUNCTION("SPLIT(B117,"" "")"),"Tkachova")</f>
        <v>Tkachova</v>
      </c>
      <c r="D117" s="75" t="str">
        <f>IFERROR(__xludf.DUMMYFUNCTION("""COMPUTED_VALUE"""),"Daria")</f>
        <v>Daria</v>
      </c>
      <c r="E117" s="75" t="str">
        <f>IFERROR(__xludf.DUMMYFUNCTION("""COMPUTED_VALUE"""),"DFKS")</f>
        <v>DFKS</v>
      </c>
      <c r="M117" s="75" t="str">
        <f t="shared" si="2"/>
        <v>DFKS       </v>
      </c>
    </row>
    <row r="118">
      <c r="A118" s="8">
        <v>9.0</v>
      </c>
      <c r="B118" s="77" t="s">
        <v>290</v>
      </c>
      <c r="C118" s="75" t="str">
        <f>IFERROR(__xludf.DUMMYFUNCTION("SPLIT(B118,"" "")"),"Daria")</f>
        <v>Daria</v>
      </c>
      <c r="D118" s="75" t="str">
        <f>IFERROR(__xludf.DUMMYFUNCTION("""COMPUTED_VALUE"""),"Nawój")</f>
        <v>Nawój</v>
      </c>
      <c r="E118" s="75" t="str">
        <f>IFERROR(__xludf.DUMMYFUNCTION("""COMPUTED_VALUE"""),"Klub")</f>
        <v>Klub</v>
      </c>
      <c r="F118" s="75" t="str">
        <f>IFERROR(__xludf.DUMMYFUNCTION("""COMPUTED_VALUE"""),"Sportowy")</f>
        <v>Sportowy</v>
      </c>
      <c r="G118" s="75" t="str">
        <f>IFERROR(__xludf.DUMMYFUNCTION("""COMPUTED_VALUE"""),"Sportiva")</f>
        <v>Sportiva</v>
      </c>
      <c r="H118" s="75" t="str">
        <f>IFERROR(__xludf.DUMMYFUNCTION("""COMPUTED_VALUE"""),"Tarnów")</f>
        <v>Tarnów</v>
      </c>
      <c r="M118" s="75" t="str">
        <f t="shared" si="2"/>
        <v>Klub Sportowy Sportiva Tarnów    </v>
      </c>
    </row>
    <row r="119">
      <c r="A119" s="8">
        <v>10.0</v>
      </c>
      <c r="B119" s="77" t="s">
        <v>278</v>
      </c>
      <c r="C119" s="75" t="str">
        <f>IFERROR(__xludf.DUMMYFUNCTION("SPLIT(B119,"" "")"),"Olimpia")</f>
        <v>Olimpia</v>
      </c>
      <c r="D119" s="75" t="str">
        <f>IFERROR(__xludf.DUMMYFUNCTION("""COMPUTED_VALUE"""),"Markisch")</f>
        <v>Markisch</v>
      </c>
      <c r="E119" s="75" t="str">
        <f>IFERROR(__xludf.DUMMYFUNCTION("""COMPUTED_VALUE"""),"Klub")</f>
        <v>Klub</v>
      </c>
      <c r="F119" s="75" t="str">
        <f>IFERROR(__xludf.DUMMYFUNCTION("""COMPUTED_VALUE"""),"Wspinaczki")</f>
        <v>Wspinaczki</v>
      </c>
      <c r="G119" s="75" t="str">
        <f>IFERROR(__xludf.DUMMYFUNCTION("""COMPUTED_VALUE"""),"Sportowej")</f>
        <v>Sportowej</v>
      </c>
      <c r="H119" s="75" t="str">
        <f>IFERROR(__xludf.DUMMYFUNCTION("""COMPUTED_VALUE"""),"Klif")</f>
        <v>Klif</v>
      </c>
      <c r="I119" s="75" t="str">
        <f>IFERROR(__xludf.DUMMYFUNCTION("""COMPUTED_VALUE"""),"Tarnowskie")</f>
        <v>Tarnowskie</v>
      </c>
      <c r="J119" s="75" t="str">
        <f>IFERROR(__xludf.DUMMYFUNCTION("""COMPUTED_VALUE"""),"Góry")</f>
        <v>Góry</v>
      </c>
      <c r="M119" s="75" t="str">
        <f t="shared" si="2"/>
        <v>Klub Wspinaczki Sportowej Klif Tarnowskie Góry  </v>
      </c>
    </row>
    <row r="120">
      <c r="A120" s="8">
        <v>11.0</v>
      </c>
      <c r="B120" s="77" t="s">
        <v>242</v>
      </c>
      <c r="C120" s="75" t="str">
        <f>IFERROR(__xludf.DUMMYFUNCTION("SPLIT(B120,"" "")"),"Amelia")</f>
        <v>Amelia</v>
      </c>
      <c r="D120" s="75" t="str">
        <f>IFERROR(__xludf.DUMMYFUNCTION("""COMPUTED_VALUE"""),"Mazur")</f>
        <v>Mazur</v>
      </c>
      <c r="E120" s="75" t="str">
        <f>IFERROR(__xludf.DUMMYFUNCTION("""COMPUTED_VALUE"""),"Klub")</f>
        <v>Klub</v>
      </c>
      <c r="F120" s="75" t="str">
        <f>IFERROR(__xludf.DUMMYFUNCTION("""COMPUTED_VALUE"""),"Wspinaczki")</f>
        <v>Wspinaczki</v>
      </c>
      <c r="G120" s="75" t="str">
        <f>IFERROR(__xludf.DUMMYFUNCTION("""COMPUTED_VALUE"""),"Sportowej")</f>
        <v>Sportowej</v>
      </c>
      <c r="H120" s="75" t="str">
        <f>IFERROR(__xludf.DUMMYFUNCTION("""COMPUTED_VALUE"""),"Klif")</f>
        <v>Klif</v>
      </c>
      <c r="I120" s="75" t="str">
        <f>IFERROR(__xludf.DUMMYFUNCTION("""COMPUTED_VALUE"""),"Tarnowskie")</f>
        <v>Tarnowskie</v>
      </c>
      <c r="J120" s="75" t="str">
        <f>IFERROR(__xludf.DUMMYFUNCTION("""COMPUTED_VALUE"""),"Góry")</f>
        <v>Góry</v>
      </c>
      <c r="M120" s="75" t="str">
        <f t="shared" si="2"/>
        <v>Klub Wspinaczki Sportowej Klif Tarnowskie Góry  </v>
      </c>
    </row>
    <row r="121">
      <c r="A121" s="8">
        <v>12.0</v>
      </c>
      <c r="B121" s="77" t="s">
        <v>291</v>
      </c>
      <c r="C121" s="75" t="str">
        <f>IFERROR(__xludf.DUMMYFUNCTION("SPLIT(B121,"" "")"),"Maria")</f>
        <v>Maria</v>
      </c>
      <c r="D121" s="75" t="str">
        <f>IFERROR(__xludf.DUMMYFUNCTION("""COMPUTED_VALUE"""),"Szwed")</f>
        <v>Szwed</v>
      </c>
      <c r="E121" s="75" t="str">
        <f>IFERROR(__xludf.DUMMYFUNCTION("""COMPUTED_VALUE"""),"Pol-Inowex")</f>
        <v>Pol-Inowex</v>
      </c>
      <c r="F121" s="75" t="str">
        <f>IFERROR(__xludf.DUMMYFUNCTION("""COMPUTED_VALUE"""),"Skarpa")</f>
        <v>Skarpa</v>
      </c>
      <c r="G121" s="75" t="str">
        <f>IFERROR(__xludf.DUMMYFUNCTION("""COMPUTED_VALUE"""),"Lublin")</f>
        <v>Lublin</v>
      </c>
      <c r="M121" s="75" t="str">
        <f t="shared" si="2"/>
        <v>Pol-Inowex Skarpa Lublin     </v>
      </c>
    </row>
    <row r="122">
      <c r="A122" s="8">
        <v>13.0</v>
      </c>
      <c r="B122" s="77" t="s">
        <v>275</v>
      </c>
      <c r="C122" s="75" t="str">
        <f>IFERROR(__xludf.DUMMYFUNCTION("SPLIT(B122,"" "")"),"Arlena")</f>
        <v>Arlena</v>
      </c>
      <c r="D122" s="75" t="str">
        <f>IFERROR(__xludf.DUMMYFUNCTION("""COMPUTED_VALUE"""),"Sznajder")</f>
        <v>Sznajder</v>
      </c>
      <c r="E122" s="75" t="str">
        <f>IFERROR(__xludf.DUMMYFUNCTION("""COMPUTED_VALUE"""),"Klub")</f>
        <v>Klub</v>
      </c>
      <c r="F122" s="75" t="str">
        <f>IFERROR(__xludf.DUMMYFUNCTION("""COMPUTED_VALUE"""),"Wspinaczki")</f>
        <v>Wspinaczki</v>
      </c>
      <c r="G122" s="75" t="str">
        <f>IFERROR(__xludf.DUMMYFUNCTION("""COMPUTED_VALUE"""),"Sportowej")</f>
        <v>Sportowej</v>
      </c>
      <c r="H122" s="75" t="str">
        <f>IFERROR(__xludf.DUMMYFUNCTION("""COMPUTED_VALUE"""),"Klif")</f>
        <v>Klif</v>
      </c>
      <c r="I122" s="75" t="str">
        <f>IFERROR(__xludf.DUMMYFUNCTION("""COMPUTED_VALUE"""),"Tarnowskie")</f>
        <v>Tarnowskie</v>
      </c>
      <c r="J122" s="75" t="str">
        <f>IFERROR(__xludf.DUMMYFUNCTION("""COMPUTED_VALUE"""),"Góry")</f>
        <v>Góry</v>
      </c>
      <c r="M122" s="75" t="str">
        <f t="shared" si="2"/>
        <v>Klub Wspinaczki Sportowej Klif Tarnowskie Góry  </v>
      </c>
    </row>
    <row r="123">
      <c r="A123" s="8">
        <v>14.0</v>
      </c>
      <c r="B123" s="77" t="s">
        <v>305</v>
      </c>
      <c r="C123" s="75" t="str">
        <f>IFERROR(__xludf.DUMMYFUNCTION("SPLIT(B123,"" "")"),"Natalia")</f>
        <v>Natalia</v>
      </c>
      <c r="D123" s="75" t="str">
        <f>IFERROR(__xludf.DUMMYFUNCTION("""COMPUTED_VALUE"""),"Woś")</f>
        <v>Woś</v>
      </c>
      <c r="E123" s="75" t="str">
        <f>IFERROR(__xludf.DUMMYFUNCTION("""COMPUTED_VALUE"""),"Pol-Inowex")</f>
        <v>Pol-Inowex</v>
      </c>
      <c r="F123" s="75" t="str">
        <f>IFERROR(__xludf.DUMMYFUNCTION("""COMPUTED_VALUE"""),"Skarpa")</f>
        <v>Skarpa</v>
      </c>
      <c r="G123" s="75" t="str">
        <f>IFERROR(__xludf.DUMMYFUNCTION("""COMPUTED_VALUE"""),"Lublin")</f>
        <v>Lublin</v>
      </c>
      <c r="M123" s="75" t="str">
        <f t="shared" si="2"/>
        <v>Pol-Inowex Skarpa Lublin     </v>
      </c>
    </row>
    <row r="124">
      <c r="A124" s="8">
        <v>15.0</v>
      </c>
      <c r="B124" s="77" t="s">
        <v>277</v>
      </c>
      <c r="C124" s="75" t="str">
        <f>IFERROR(__xludf.DUMMYFUNCTION("SPLIT(B124,"" "")"),"Alicja")</f>
        <v>Alicja</v>
      </c>
      <c r="D124" s="75" t="str">
        <f>IFERROR(__xludf.DUMMYFUNCTION("""COMPUTED_VALUE"""),"Nowak")</f>
        <v>Nowak</v>
      </c>
      <c r="E124" s="75" t="str">
        <f>IFERROR(__xludf.DUMMYFUNCTION("""COMPUTED_VALUE"""),"KU")</f>
        <v>KU</v>
      </c>
      <c r="F124" s="75" t="str">
        <f>IFERROR(__xludf.DUMMYFUNCTION("""COMPUTED_VALUE"""),"AZS")</f>
        <v>AZS</v>
      </c>
      <c r="G124" s="75" t="str">
        <f>IFERROR(__xludf.DUMMYFUNCTION("""COMPUTED_VALUE"""),"PWSZ")</f>
        <v>PWSZ</v>
      </c>
      <c r="H124" s="75" t="str">
        <f>IFERROR(__xludf.DUMMYFUNCTION("""COMPUTED_VALUE"""),"Tarnów")</f>
        <v>Tarnów</v>
      </c>
      <c r="M124" s="75" t="str">
        <f t="shared" si="2"/>
        <v>KU AZS PWSZ Tarnów    </v>
      </c>
    </row>
    <row r="125">
      <c r="A125" s="8">
        <v>16.0</v>
      </c>
      <c r="B125" s="77" t="s">
        <v>244</v>
      </c>
      <c r="C125" s="75" t="str">
        <f>IFERROR(__xludf.DUMMYFUNCTION("SPLIT(B125,"" "")"),"Karolina")</f>
        <v>Karolina</v>
      </c>
      <c r="D125" s="75" t="str">
        <f>IFERROR(__xludf.DUMMYFUNCTION("""COMPUTED_VALUE"""),"Ptak")</f>
        <v>Ptak</v>
      </c>
      <c r="E125" s="75" t="str">
        <f>IFERROR(__xludf.DUMMYFUNCTION("""COMPUTED_VALUE"""),"Klub")</f>
        <v>Klub</v>
      </c>
      <c r="F125" s="75" t="str">
        <f>IFERROR(__xludf.DUMMYFUNCTION("""COMPUTED_VALUE"""),"Wspinaczki")</f>
        <v>Wspinaczki</v>
      </c>
      <c r="G125" s="75" t="str">
        <f>IFERROR(__xludf.DUMMYFUNCTION("""COMPUTED_VALUE"""),"Sportowej")</f>
        <v>Sportowej</v>
      </c>
      <c r="H125" s="75" t="str">
        <f>IFERROR(__xludf.DUMMYFUNCTION("""COMPUTED_VALUE"""),"Klif")</f>
        <v>Klif</v>
      </c>
      <c r="I125" s="75" t="str">
        <f>IFERROR(__xludf.DUMMYFUNCTION("""COMPUTED_VALUE"""),"Tarnowskie")</f>
        <v>Tarnowskie</v>
      </c>
      <c r="J125" s="75" t="str">
        <f>IFERROR(__xludf.DUMMYFUNCTION("""COMPUTED_VALUE"""),"Góry")</f>
        <v>Góry</v>
      </c>
      <c r="M125" s="75" t="str">
        <f t="shared" si="2"/>
        <v>Klub Wspinaczki Sportowej Klif Tarnowskie Góry  </v>
      </c>
    </row>
    <row r="126">
      <c r="A126" s="8">
        <v>17.0</v>
      </c>
      <c r="B126" s="77" t="s">
        <v>246</v>
      </c>
      <c r="C126" s="75" t="str">
        <f>IFERROR(__xludf.DUMMYFUNCTION("SPLIT(B126,"" "")"),"Natalia")</f>
        <v>Natalia</v>
      </c>
      <c r="D126" s="75" t="str">
        <f>IFERROR(__xludf.DUMMYFUNCTION("""COMPUTED_VALUE"""),"Włodarczyk")</f>
        <v>Włodarczyk</v>
      </c>
      <c r="E126" s="75" t="str">
        <f>IFERROR(__xludf.DUMMYFUNCTION("""COMPUTED_VALUE"""),"Klub")</f>
        <v>Klub</v>
      </c>
      <c r="F126" s="75" t="str">
        <f>IFERROR(__xludf.DUMMYFUNCTION("""COMPUTED_VALUE"""),"Wspinaczki")</f>
        <v>Wspinaczki</v>
      </c>
      <c r="G126" s="75" t="str">
        <f>IFERROR(__xludf.DUMMYFUNCTION("""COMPUTED_VALUE"""),"Sportowej")</f>
        <v>Sportowej</v>
      </c>
      <c r="H126" s="75" t="str">
        <f>IFERROR(__xludf.DUMMYFUNCTION("""COMPUTED_VALUE"""),"Klif")</f>
        <v>Klif</v>
      </c>
      <c r="I126" s="75" t="str">
        <f>IFERROR(__xludf.DUMMYFUNCTION("""COMPUTED_VALUE"""),"Tarnowskie")</f>
        <v>Tarnowskie</v>
      </c>
      <c r="J126" s="75" t="str">
        <f>IFERROR(__xludf.DUMMYFUNCTION("""COMPUTED_VALUE"""),"Góry")</f>
        <v>Góry</v>
      </c>
      <c r="M126" s="75" t="str">
        <f t="shared" si="2"/>
        <v>Klub Wspinaczki Sportowej Klif Tarnowskie Góry  </v>
      </c>
    </row>
    <row r="127">
      <c r="A127" s="8">
        <v>18.0</v>
      </c>
      <c r="B127" s="77" t="s">
        <v>292</v>
      </c>
      <c r="C127" s="75" t="str">
        <f>IFERROR(__xludf.DUMMYFUNCTION("SPLIT(B127,"" "")"),"Bianka")</f>
        <v>Bianka</v>
      </c>
      <c r="D127" s="75" t="str">
        <f>IFERROR(__xludf.DUMMYFUNCTION("""COMPUTED_VALUE"""),"Janecka")</f>
        <v>Janecka</v>
      </c>
      <c r="E127" s="75" t="str">
        <f>IFERROR(__xludf.DUMMYFUNCTION("""COMPUTED_VALUE"""),"Klub")</f>
        <v>Klub</v>
      </c>
      <c r="F127" s="75" t="str">
        <f>IFERROR(__xludf.DUMMYFUNCTION("""COMPUTED_VALUE"""),"Wysokogórski")</f>
        <v>Wysokogórski</v>
      </c>
      <c r="G127" s="75" t="str">
        <f>IFERROR(__xludf.DUMMYFUNCTION("""COMPUTED_VALUE"""),"Częstochowa")</f>
        <v>Częstochowa</v>
      </c>
      <c r="M127" s="75" t="str">
        <f t="shared" si="2"/>
        <v>Klub Wysokogórski Częstochowa     </v>
      </c>
    </row>
    <row r="128">
      <c r="M128" s="75" t="str">
        <f t="shared" si="2"/>
        <v>       </v>
      </c>
    </row>
    <row r="129">
      <c r="M129" s="75" t="str">
        <f t="shared" si="2"/>
        <v>       </v>
      </c>
    </row>
    <row r="130">
      <c r="B130" s="77" t="s">
        <v>306</v>
      </c>
      <c r="C130" s="76" t="str">
        <f>IFERROR(__xludf.DUMMYFUNCTION("SPLIT(B130,"" "")"),"SENIORZY")</f>
        <v>SENIORZY</v>
      </c>
      <c r="M130" s="75" t="str">
        <f t="shared" si="2"/>
        <v>       </v>
      </c>
    </row>
    <row r="131" hidden="1">
      <c r="A131" s="77">
        <v>1.0</v>
      </c>
      <c r="B131" s="77" t="s">
        <v>307</v>
      </c>
      <c r="C131" s="75" t="str">
        <f>IFERROR(__xludf.DUMMYFUNCTION("SPLIT(B131,"" "")"),"Tkach")</f>
        <v>Tkach</v>
      </c>
      <c r="D131" s="75" t="str">
        <f>IFERROR(__xludf.DUMMYFUNCTION("""COMPUTED_VALUE"""),"Yaroslav")</f>
        <v>Yaroslav</v>
      </c>
      <c r="E131" s="75" t="str">
        <f>IFERROR(__xludf.DUMMYFUNCTION("""COMPUTED_VALUE"""),"UMCF")</f>
        <v>UMCF</v>
      </c>
      <c r="M131" s="75" t="str">
        <f t="shared" si="2"/>
        <v>UMCF       </v>
      </c>
    </row>
    <row r="132">
      <c r="A132" s="8">
        <v>1.0</v>
      </c>
      <c r="B132" s="77" t="s">
        <v>308</v>
      </c>
      <c r="C132" s="75" t="str">
        <f>IFERROR(__xludf.DUMMYFUNCTION("SPLIT(B132,"" "")"),"Marcin")</f>
        <v>Marcin</v>
      </c>
      <c r="D132" s="75" t="str">
        <f>IFERROR(__xludf.DUMMYFUNCTION("""COMPUTED_VALUE"""),"Dzieński")</f>
        <v>Dzieński</v>
      </c>
      <c r="E132" s="75" t="str">
        <f>IFERROR(__xludf.DUMMYFUNCTION("""COMPUTED_VALUE"""),"KU")</f>
        <v>KU</v>
      </c>
      <c r="F132" s="75" t="str">
        <f>IFERROR(__xludf.DUMMYFUNCTION("""COMPUTED_VALUE"""),"AZS")</f>
        <v>AZS</v>
      </c>
      <c r="G132" s="75" t="str">
        <f>IFERROR(__xludf.DUMMYFUNCTION("""COMPUTED_VALUE"""),"PWSZ")</f>
        <v>PWSZ</v>
      </c>
      <c r="H132" s="75" t="str">
        <f>IFERROR(__xludf.DUMMYFUNCTION("""COMPUTED_VALUE"""),"Tarnów")</f>
        <v>Tarnów</v>
      </c>
      <c r="M132" s="75" t="str">
        <f t="shared" si="2"/>
        <v>KU AZS PWSZ Tarnów    </v>
      </c>
    </row>
    <row r="133">
      <c r="A133" s="8">
        <v>2.0</v>
      </c>
      <c r="B133" s="77" t="s">
        <v>309</v>
      </c>
      <c r="C133" s="75" t="str">
        <f>IFERROR(__xludf.DUMMYFUNCTION("SPLIT(B133,"" "")"),"Hubert")</f>
        <v>Hubert</v>
      </c>
      <c r="D133" s="75" t="str">
        <f>IFERROR(__xludf.DUMMYFUNCTION("""COMPUTED_VALUE"""),"Przytuła")</f>
        <v>Przytuła</v>
      </c>
      <c r="E133" s="75" t="str">
        <f>IFERROR(__xludf.DUMMYFUNCTION("""COMPUTED_VALUE"""),"Klub")</f>
        <v>Klub</v>
      </c>
      <c r="F133" s="75" t="str">
        <f>IFERROR(__xludf.DUMMYFUNCTION("""COMPUTED_VALUE"""),"Uczelniany")</f>
        <v>Uczelniany</v>
      </c>
      <c r="G133" s="75" t="str">
        <f>IFERROR(__xludf.DUMMYFUNCTION("""COMPUTED_VALUE"""),"AZS")</f>
        <v>AZS</v>
      </c>
      <c r="H133" s="75" t="str">
        <f>IFERROR(__xludf.DUMMYFUNCTION("""COMPUTED_VALUE"""),"Uniwersytetu")</f>
        <v>Uniwersytetu</v>
      </c>
      <c r="I133" s="75" t="str">
        <f>IFERROR(__xludf.DUMMYFUNCTION("""COMPUTED_VALUE"""),"Warszawskiego")</f>
        <v>Warszawskiego</v>
      </c>
      <c r="M133" s="75" t="str">
        <f t="shared" si="2"/>
        <v>Klub Uczelniany AZS Uniwersytetu Warszawskiego   </v>
      </c>
    </row>
    <row r="134" hidden="1">
      <c r="A134" s="77">
        <v>4.0</v>
      </c>
      <c r="B134" s="77" t="s">
        <v>310</v>
      </c>
      <c r="C134" s="75" t="str">
        <f>IFERROR(__xludf.DUMMYFUNCTION("SPLIT(B134,"" "")"),"Diatlov")</f>
        <v>Diatlov</v>
      </c>
      <c r="D134" s="75" t="str">
        <f>IFERROR(__xludf.DUMMYFUNCTION("""COMPUTED_VALUE"""),"Tymur")</f>
        <v>Tymur</v>
      </c>
      <c r="E134" s="75" t="str">
        <f>IFERROR(__xludf.DUMMYFUNCTION("""COMPUTED_VALUE"""),"FormAT")</f>
        <v>FormAT</v>
      </c>
      <c r="M134" s="75" t="str">
        <f t="shared" si="2"/>
        <v>FormAT       </v>
      </c>
    </row>
    <row r="135">
      <c r="A135" s="8">
        <v>3.0</v>
      </c>
      <c r="B135" s="77" t="s">
        <v>294</v>
      </c>
      <c r="C135" s="75" t="str">
        <f>IFERROR(__xludf.DUMMYFUNCTION("SPLIT(B135,"" "")"),"Jan")</f>
        <v>Jan</v>
      </c>
      <c r="D135" s="75" t="str">
        <f>IFERROR(__xludf.DUMMYFUNCTION("""COMPUTED_VALUE"""),"Tkaczyk")</f>
        <v>Tkaczyk</v>
      </c>
      <c r="E135" s="75" t="str">
        <f>IFERROR(__xludf.DUMMYFUNCTION("""COMPUTED_VALUE"""),"Pol-Inowex")</f>
        <v>Pol-Inowex</v>
      </c>
      <c r="F135" s="75" t="str">
        <f>IFERROR(__xludf.DUMMYFUNCTION("""COMPUTED_VALUE"""),"Skarpa")</f>
        <v>Skarpa</v>
      </c>
      <c r="G135" s="75" t="str">
        <f>IFERROR(__xludf.DUMMYFUNCTION("""COMPUTED_VALUE"""),"Lublin")</f>
        <v>Lublin</v>
      </c>
      <c r="M135" s="75" t="str">
        <f t="shared" si="2"/>
        <v>Pol-Inowex Skarpa Lublin     </v>
      </c>
    </row>
    <row r="136">
      <c r="A136" s="8">
        <v>4.0</v>
      </c>
      <c r="B136" s="77" t="s">
        <v>295</v>
      </c>
      <c r="C136" s="75" t="str">
        <f>IFERROR(__xludf.DUMMYFUNCTION("SPLIT(B136,"" "")"),"Jan")</f>
        <v>Jan</v>
      </c>
      <c r="D136" s="75" t="str">
        <f>IFERROR(__xludf.DUMMYFUNCTION("""COMPUTED_VALUE"""),"Kroszka")</f>
        <v>Kroszka</v>
      </c>
      <c r="E136" s="75" t="str">
        <f>IFERROR(__xludf.DUMMYFUNCTION("""COMPUTED_VALUE"""),"Klub")</f>
        <v>Klub</v>
      </c>
      <c r="F136" s="75" t="str">
        <f>IFERROR(__xludf.DUMMYFUNCTION("""COMPUTED_VALUE"""),"Wspinaczki")</f>
        <v>Wspinaczki</v>
      </c>
      <c r="G136" s="75" t="str">
        <f>IFERROR(__xludf.DUMMYFUNCTION("""COMPUTED_VALUE"""),"Sportowej")</f>
        <v>Sportowej</v>
      </c>
      <c r="H136" s="75" t="str">
        <f>IFERROR(__xludf.DUMMYFUNCTION("""COMPUTED_VALUE"""),"Klif")</f>
        <v>Klif</v>
      </c>
      <c r="I136" s="75" t="str">
        <f>IFERROR(__xludf.DUMMYFUNCTION("""COMPUTED_VALUE"""),"Tarnowskie")</f>
        <v>Tarnowskie</v>
      </c>
      <c r="J136" s="75" t="str">
        <f>IFERROR(__xludf.DUMMYFUNCTION("""COMPUTED_VALUE"""),"Góry")</f>
        <v>Góry</v>
      </c>
      <c r="M136" s="75" t="str">
        <f t="shared" si="2"/>
        <v>Klub Wspinaczki Sportowej Klif Tarnowskie Góry  </v>
      </c>
    </row>
    <row r="137" hidden="1">
      <c r="A137" s="77">
        <v>7.0</v>
      </c>
      <c r="B137" s="77" t="s">
        <v>311</v>
      </c>
      <c r="C137" s="75" t="str">
        <f>IFERROR(__xludf.DUMMYFUNCTION("SPLIT(B137,"" "")"),"Mark")</f>
        <v>Mark</v>
      </c>
      <c r="D137" s="75" t="str">
        <f>IFERROR(__xludf.DUMMYFUNCTION("""COMPUTED_VALUE"""),"Shutko")</f>
        <v>Shutko</v>
      </c>
      <c r="E137" s="75" t="str">
        <f>IFERROR(__xludf.DUMMYFUNCTION("""COMPUTED_VALUE"""),"Siewierodonieck")</f>
        <v>Siewierodonieck</v>
      </c>
      <c r="F137" s="75" t="str">
        <f>IFERROR(__xludf.DUMMYFUNCTION("""COMPUTED_VALUE"""),"K")</f>
        <v>K</v>
      </c>
      <c r="G137" s="75" t="str">
        <f>IFERROR(__xludf.DUMMYFUNCTION("""COMPUTED_VALUE"""),"D")</f>
        <v>D</v>
      </c>
      <c r="H137" s="75" t="str">
        <f>IFERROR(__xludf.DUMMYFUNCTION("""COMPUTED_VALUE"""),"Ju")</f>
        <v>Ju</v>
      </c>
      <c r="I137" s="75" t="str">
        <f>IFERROR(__xludf.DUMMYFUNCTION("""COMPUTED_VALUE"""),"S")</f>
        <v>S</v>
      </c>
      <c r="J137" s="75" t="str">
        <f>IFERROR(__xludf.DUMMYFUNCTION("""COMPUTED_VALUE"""),"Sz")</f>
        <v>Sz</v>
      </c>
      <c r="K137" s="75">
        <f>IFERROR(__xludf.DUMMYFUNCTION("""COMPUTED_VALUE"""),1.0)</f>
        <v>1</v>
      </c>
      <c r="M137" s="75" t="str">
        <f t="shared" si="2"/>
        <v>Siewierodonieck K D Ju S Sz 1 </v>
      </c>
    </row>
    <row r="138">
      <c r="A138" s="8">
        <v>5.0</v>
      </c>
      <c r="B138" s="77" t="s">
        <v>312</v>
      </c>
      <c r="C138" s="75" t="str">
        <f>IFERROR(__xludf.DUMMYFUNCTION("SPLIT(B138,"" "")"),"Bartłomiej")</f>
        <v>Bartłomiej</v>
      </c>
      <c r="D138" s="75" t="str">
        <f>IFERROR(__xludf.DUMMYFUNCTION("""COMPUTED_VALUE"""),"Podlewski")</f>
        <v>Podlewski</v>
      </c>
      <c r="E138" s="75" t="str">
        <f>IFERROR(__xludf.DUMMYFUNCTION("""COMPUTED_VALUE"""),"Klub")</f>
        <v>Klub</v>
      </c>
      <c r="F138" s="75" t="str">
        <f>IFERROR(__xludf.DUMMYFUNCTION("""COMPUTED_VALUE"""),"Sportowy")</f>
        <v>Sportowy</v>
      </c>
      <c r="G138" s="75" t="str">
        <f>IFERROR(__xludf.DUMMYFUNCTION("""COMPUTED_VALUE"""),"Sportiva")</f>
        <v>Sportiva</v>
      </c>
      <c r="H138" s="75" t="str">
        <f>IFERROR(__xludf.DUMMYFUNCTION("""COMPUTED_VALUE"""),"Tarnów")</f>
        <v>Tarnów</v>
      </c>
      <c r="M138" s="75" t="str">
        <f t="shared" si="2"/>
        <v>Klub Sportowy Sportiva Tarnów    </v>
      </c>
    </row>
    <row r="139">
      <c r="A139" s="8">
        <v>6.0</v>
      </c>
      <c r="B139" s="77" t="s">
        <v>254</v>
      </c>
      <c r="C139" s="75" t="str">
        <f>IFERROR(__xludf.DUMMYFUNCTION("SPLIT(B139,"" "")"),"Eryk")</f>
        <v>Eryk</v>
      </c>
      <c r="D139" s="75" t="str">
        <f>IFERROR(__xludf.DUMMYFUNCTION("""COMPUTED_VALUE"""),"Nawój")</f>
        <v>Nawój</v>
      </c>
      <c r="E139" s="75" t="str">
        <f>IFERROR(__xludf.DUMMYFUNCTION("""COMPUTED_VALUE"""),"Klub")</f>
        <v>Klub</v>
      </c>
      <c r="F139" s="75" t="str">
        <f>IFERROR(__xludf.DUMMYFUNCTION("""COMPUTED_VALUE"""),"Sportowy")</f>
        <v>Sportowy</v>
      </c>
      <c r="G139" s="75" t="str">
        <f>IFERROR(__xludf.DUMMYFUNCTION("""COMPUTED_VALUE"""),"Sportiva")</f>
        <v>Sportiva</v>
      </c>
      <c r="H139" s="75" t="str">
        <f>IFERROR(__xludf.DUMMYFUNCTION("""COMPUTED_VALUE"""),"Tarnów")</f>
        <v>Tarnów</v>
      </c>
      <c r="M139" s="75" t="str">
        <f t="shared" si="2"/>
        <v>Klub Sportowy Sportiva Tarnów    </v>
      </c>
    </row>
    <row r="140">
      <c r="A140" s="8">
        <v>7.0</v>
      </c>
      <c r="B140" s="77" t="s">
        <v>296</v>
      </c>
      <c r="C140" s="75" t="str">
        <f>IFERROR(__xludf.DUMMYFUNCTION("SPLIT(B140,"" "")"),"Ernest")</f>
        <v>Ernest</v>
      </c>
      <c r="D140" s="75" t="str">
        <f>IFERROR(__xludf.DUMMYFUNCTION("""COMPUTED_VALUE"""),"Strączyński")</f>
        <v>Strączyński</v>
      </c>
      <c r="E140" s="75" t="str">
        <f>IFERROR(__xludf.DUMMYFUNCTION("""COMPUTED_VALUE"""),"Klub")</f>
        <v>Klub</v>
      </c>
      <c r="F140" s="75" t="str">
        <f>IFERROR(__xludf.DUMMYFUNCTION("""COMPUTED_VALUE"""),"Wysokogórski")</f>
        <v>Wysokogórski</v>
      </c>
      <c r="G140" s="75" t="str">
        <f>IFERROR(__xludf.DUMMYFUNCTION("""COMPUTED_VALUE"""),"Częstochowa")</f>
        <v>Częstochowa</v>
      </c>
      <c r="M140" s="75" t="str">
        <f t="shared" si="2"/>
        <v>Klub Wysokogórski Częstochowa     </v>
      </c>
    </row>
    <row r="141">
      <c r="A141" s="8">
        <v>8.0</v>
      </c>
      <c r="B141" s="77" t="s">
        <v>260</v>
      </c>
      <c r="C141" s="75" t="str">
        <f>IFERROR(__xludf.DUMMYFUNCTION("SPLIT(B141,"" "")"),"Mateusz")</f>
        <v>Mateusz</v>
      </c>
      <c r="D141" s="75" t="str">
        <f>IFERROR(__xludf.DUMMYFUNCTION("""COMPUTED_VALUE"""),"Dąbrowski")</f>
        <v>Dąbrowski</v>
      </c>
      <c r="E141" s="75" t="str">
        <f>IFERROR(__xludf.DUMMYFUNCTION("""COMPUTED_VALUE"""),"Murall")</f>
        <v>Murall</v>
      </c>
      <c r="F141" s="75" t="str">
        <f>IFERROR(__xludf.DUMMYFUNCTION("""COMPUTED_VALUE"""),"UKA")</f>
        <v>UKA</v>
      </c>
      <c r="M141" s="75" t="str">
        <f t="shared" si="2"/>
        <v>Murall UKA      </v>
      </c>
    </row>
    <row r="142">
      <c r="A142" s="8">
        <v>9.0</v>
      </c>
      <c r="B142" s="77" t="s">
        <v>313</v>
      </c>
      <c r="C142" s="75" t="str">
        <f>IFERROR(__xludf.DUMMYFUNCTION("SPLIT(B142,"" "")"),"Mikołaj")</f>
        <v>Mikołaj</v>
      </c>
      <c r="D142" s="75" t="str">
        <f>IFERROR(__xludf.DUMMYFUNCTION("""COMPUTED_VALUE"""),"Wróblewski")</f>
        <v>Wróblewski</v>
      </c>
      <c r="E142" s="75" t="str">
        <f>IFERROR(__xludf.DUMMYFUNCTION("""COMPUTED_VALUE"""),"KU")</f>
        <v>KU</v>
      </c>
      <c r="F142" s="75" t="str">
        <f>IFERROR(__xludf.DUMMYFUNCTION("""COMPUTED_VALUE"""),"AZS")</f>
        <v>AZS</v>
      </c>
      <c r="G142" s="75" t="str">
        <f>IFERROR(__xludf.DUMMYFUNCTION("""COMPUTED_VALUE"""),"PWSZ")</f>
        <v>PWSZ</v>
      </c>
      <c r="H142" s="75" t="str">
        <f>IFERROR(__xludf.DUMMYFUNCTION("""COMPUTED_VALUE"""),"Sekcja")</f>
        <v>Sekcja</v>
      </c>
      <c r="I142" s="75" t="str">
        <f>IFERROR(__xludf.DUMMYFUNCTION("""COMPUTED_VALUE"""),"Wspin")</f>
        <v>Wspin</v>
      </c>
      <c r="J142" s="75" t="str">
        <f>IFERROR(__xludf.DUMMYFUNCTION("""COMPUTED_VALUE"""),"Sport")</f>
        <v>Sport</v>
      </c>
      <c r="M142" s="75" t="str">
        <f t="shared" si="2"/>
        <v>KU AZS PWSZ Sekcja Wspin Sport  </v>
      </c>
    </row>
    <row r="143">
      <c r="A143" s="8">
        <v>10.0</v>
      </c>
      <c r="B143" s="77" t="s">
        <v>256</v>
      </c>
      <c r="C143" s="75" t="str">
        <f>IFERROR(__xludf.DUMMYFUNCTION("SPLIT(B143,"" "")"),"Jan")</f>
        <v>Jan</v>
      </c>
      <c r="D143" s="75" t="str">
        <f>IFERROR(__xludf.DUMMYFUNCTION("""COMPUTED_VALUE"""),"Swęd")</f>
        <v>Swęd</v>
      </c>
      <c r="E143" s="75" t="str">
        <f>IFERROR(__xludf.DUMMYFUNCTION("""COMPUTED_VALUE"""),"Murall")</f>
        <v>Murall</v>
      </c>
      <c r="F143" s="75" t="str">
        <f>IFERROR(__xludf.DUMMYFUNCTION("""COMPUTED_VALUE"""),"UKA")</f>
        <v>UKA</v>
      </c>
      <c r="M143" s="75" t="str">
        <f t="shared" si="2"/>
        <v>Murall UKA      </v>
      </c>
    </row>
    <row r="144">
      <c r="A144" s="8">
        <v>11.0</v>
      </c>
      <c r="B144" s="77" t="s">
        <v>284</v>
      </c>
      <c r="C144" s="75" t="str">
        <f>IFERROR(__xludf.DUMMYFUNCTION("SPLIT(B144,"" "")"),"Szymon")</f>
        <v>Szymon</v>
      </c>
      <c r="D144" s="75" t="str">
        <f>IFERROR(__xludf.DUMMYFUNCTION("""COMPUTED_VALUE"""),"Dąbrowski")</f>
        <v>Dąbrowski</v>
      </c>
      <c r="E144" s="75" t="str">
        <f>IFERROR(__xludf.DUMMYFUNCTION("""COMPUTED_VALUE"""),"Murall")</f>
        <v>Murall</v>
      </c>
      <c r="F144" s="75" t="str">
        <f>IFERROR(__xludf.DUMMYFUNCTION("""COMPUTED_VALUE"""),"UKA")</f>
        <v>UKA</v>
      </c>
      <c r="M144" s="75" t="str">
        <f t="shared" si="2"/>
        <v>Murall UKA      </v>
      </c>
    </row>
    <row r="145">
      <c r="A145" s="8">
        <v>12.0</v>
      </c>
      <c r="B145" s="77" t="s">
        <v>257</v>
      </c>
      <c r="C145" s="75" t="str">
        <f>IFERROR(__xludf.DUMMYFUNCTION("SPLIT(B145,"" "")"),"Mikołaj")</f>
        <v>Mikołaj</v>
      </c>
      <c r="D145" s="75" t="str">
        <f>IFERROR(__xludf.DUMMYFUNCTION("""COMPUTED_VALUE"""),"Barabas")</f>
        <v>Barabas</v>
      </c>
      <c r="E145" s="75" t="str">
        <f>IFERROR(__xludf.DUMMYFUNCTION("""COMPUTED_VALUE"""),"Pol-Inowex")</f>
        <v>Pol-Inowex</v>
      </c>
      <c r="F145" s="75" t="str">
        <f>IFERROR(__xludf.DUMMYFUNCTION("""COMPUTED_VALUE"""),"Skarpa")</f>
        <v>Skarpa</v>
      </c>
      <c r="G145" s="75" t="str">
        <f>IFERROR(__xludf.DUMMYFUNCTION("""COMPUTED_VALUE"""),"Lublin")</f>
        <v>Lublin</v>
      </c>
      <c r="M145" s="75" t="str">
        <f t="shared" si="2"/>
        <v>Pol-Inowex Skarpa Lublin     </v>
      </c>
    </row>
    <row r="146">
      <c r="A146" s="8">
        <v>13.0</v>
      </c>
      <c r="B146" s="8" t="s">
        <v>270</v>
      </c>
      <c r="C146" s="75" t="str">
        <f>IFERROR(__xludf.DUMMYFUNCTION("SPLIT(B146,"" "")"),"Filip")</f>
        <v>Filip</v>
      </c>
      <c r="D146" s="75" t="str">
        <f>IFERROR(__xludf.DUMMYFUNCTION("""COMPUTED_VALUE"""),"Łoboda")</f>
        <v>Łoboda</v>
      </c>
      <c r="E146" s="75" t="str">
        <f>IFERROR(__xludf.DUMMYFUNCTION("""COMPUTED_VALUE"""),"MKS")</f>
        <v>MKS</v>
      </c>
      <c r="F146" s="75" t="str">
        <f>IFERROR(__xludf.DUMMYFUNCTION("""COMPUTED_VALUE"""),"Pałac")</f>
        <v>Pałac</v>
      </c>
      <c r="G146" s="75" t="str">
        <f>IFERROR(__xludf.DUMMYFUNCTION("""COMPUTED_VALUE"""),"Młodzieży")</f>
        <v>Młodzieży</v>
      </c>
      <c r="H146" s="75" t="str">
        <f>IFERROR(__xludf.DUMMYFUNCTION("""COMPUTED_VALUE"""),"w")</f>
        <v>w</v>
      </c>
      <c r="I146" s="75" t="str">
        <f>IFERROR(__xludf.DUMMYFUNCTION("""COMPUTED_VALUE"""),"Tarnowie")</f>
        <v>Tarnowie</v>
      </c>
      <c r="M146" s="75" t="str">
        <f t="shared" si="2"/>
        <v>MKS Pałac Młodzieży w Tarnowie   </v>
      </c>
    </row>
  </sheetData>
  <mergeCells count="3">
    <mergeCell ref="A1:M1"/>
    <mergeCell ref="C39:D39"/>
    <mergeCell ref="C54:D54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5.0"/>
    <col customWidth="1" min="2" max="2" width="18.5"/>
    <col customWidth="1" min="4" max="4" width="11.38"/>
    <col customWidth="1" hidden="1" min="5" max="5" width="11.63"/>
    <col customWidth="1" hidden="1" min="6" max="6" width="44.75"/>
    <col hidden="1" min="7" max="7" width="12.63"/>
    <col customWidth="1" hidden="1" min="8" max="8" width="8.75"/>
    <col customWidth="1" min="9" max="9" width="10.75"/>
    <col customWidth="1" min="10" max="10" width="11.38"/>
    <col customWidth="1" min="11" max="11" width="11.25"/>
    <col customWidth="1" hidden="1" min="13" max="13" width="4.63"/>
    <col customWidth="1" min="14" max="14" width="6.5"/>
    <col customWidth="1" min="15" max="15" width="19.75"/>
    <col customWidth="1" min="16" max="16" width="10.75"/>
    <col customWidth="1" min="17" max="17" width="21.75"/>
    <col customWidth="1" min="18" max="18" width="10.38"/>
    <col customWidth="1" min="19" max="19" width="5.5"/>
    <col customWidth="1" min="20" max="20" width="22.63"/>
    <col customWidth="1" min="21" max="21" width="9.13"/>
    <col customWidth="1" min="22" max="22" width="24.75"/>
    <col customWidth="1" min="23" max="23" width="23.13"/>
  </cols>
  <sheetData>
    <row r="1">
      <c r="A1" s="1" t="s">
        <v>1</v>
      </c>
      <c r="B1" s="1" t="s">
        <v>2</v>
      </c>
      <c r="C1" s="1" t="s">
        <v>3</v>
      </c>
      <c r="D1" s="3" t="s">
        <v>4</v>
      </c>
      <c r="E1" s="3"/>
      <c r="F1" s="1" t="s">
        <v>5</v>
      </c>
      <c r="G1" s="1" t="s">
        <v>40</v>
      </c>
      <c r="H1" s="3" t="s">
        <v>41</v>
      </c>
      <c r="I1" s="4" t="s">
        <v>42</v>
      </c>
      <c r="J1" s="3" t="s">
        <v>43</v>
      </c>
      <c r="K1" s="3" t="s">
        <v>44</v>
      </c>
      <c r="L1" s="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>
      <c r="A2" s="3">
        <v>5.0</v>
      </c>
      <c r="B2" s="1" t="s">
        <v>45</v>
      </c>
      <c r="C2" s="1" t="s">
        <v>46</v>
      </c>
      <c r="D2" s="3">
        <v>2.0</v>
      </c>
      <c r="E2" s="3" t="str">
        <f t="shared" ref="E2:E19" si="1">C2&amp;" "&amp;B2&amp;" "&amp;D2</f>
        <v>Zofia Dobrzańska 2</v>
      </c>
      <c r="F2" s="1" t="s">
        <v>47</v>
      </c>
      <c r="G2" s="3" t="s">
        <v>48</v>
      </c>
      <c r="H2" s="3" t="s">
        <v>48</v>
      </c>
      <c r="I2" s="3">
        <v>11.353</v>
      </c>
      <c r="J2" s="3">
        <v>8.03</v>
      </c>
      <c r="K2" s="6">
        <f t="shared" ref="K2:K11" si="2">min(I2,J2)</f>
        <v>8.03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>
      <c r="A3" s="3">
        <v>18.0</v>
      </c>
      <c r="B3" s="1" t="s">
        <v>49</v>
      </c>
      <c r="C3" s="1" t="s">
        <v>50</v>
      </c>
      <c r="D3" s="3">
        <v>19.0</v>
      </c>
      <c r="E3" s="3" t="str">
        <f t="shared" si="1"/>
        <v>Jagoda Zalewska 19</v>
      </c>
      <c r="F3" s="1" t="s">
        <v>22</v>
      </c>
      <c r="G3" s="3" t="s">
        <v>48</v>
      </c>
      <c r="H3" s="3" t="s">
        <v>48</v>
      </c>
      <c r="I3" s="3">
        <v>8.813</v>
      </c>
      <c r="J3" s="3">
        <v>9.647</v>
      </c>
      <c r="K3" s="6">
        <f t="shared" si="2"/>
        <v>8.813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>
      <c r="A4" s="3">
        <v>16.0</v>
      </c>
      <c r="B4" s="1" t="s">
        <v>51</v>
      </c>
      <c r="C4" s="1" t="s">
        <v>52</v>
      </c>
      <c r="D4" s="3">
        <v>4.0</v>
      </c>
      <c r="E4" s="3" t="str">
        <f t="shared" si="1"/>
        <v>Antonina Tarczoń 4</v>
      </c>
      <c r="F4" s="1" t="s">
        <v>12</v>
      </c>
      <c r="G4" s="3" t="s">
        <v>48</v>
      </c>
      <c r="H4" s="3" t="s">
        <v>48</v>
      </c>
      <c r="I4" s="3">
        <v>1000.0</v>
      </c>
      <c r="J4" s="3">
        <v>8.942</v>
      </c>
      <c r="K4" s="6">
        <f t="shared" si="2"/>
        <v>8.942</v>
      </c>
      <c r="L4" s="6"/>
      <c r="M4" s="8">
        <v>1.0</v>
      </c>
      <c r="O4" s="9" t="str">
        <f>E2</f>
        <v>Zofia Dobrzańska 2</v>
      </c>
      <c r="P4" s="10">
        <v>8.013</v>
      </c>
      <c r="X4" s="6"/>
      <c r="Y4" s="6"/>
      <c r="Z4" s="6"/>
      <c r="AA4" s="6"/>
      <c r="AB4" s="6"/>
      <c r="AC4" s="6"/>
    </row>
    <row r="5">
      <c r="A5" s="3">
        <v>10.0</v>
      </c>
      <c r="B5" s="1" t="s">
        <v>53</v>
      </c>
      <c r="C5" s="1" t="s">
        <v>54</v>
      </c>
      <c r="D5" s="3">
        <v>7.0</v>
      </c>
      <c r="E5" s="3" t="str">
        <f t="shared" si="1"/>
        <v>Zuzanna Luby 7</v>
      </c>
      <c r="F5" s="1" t="s">
        <v>55</v>
      </c>
      <c r="G5" s="3" t="s">
        <v>48</v>
      </c>
      <c r="H5" s="3" t="s">
        <v>48</v>
      </c>
      <c r="I5" s="3">
        <v>9.398</v>
      </c>
      <c r="J5" s="3">
        <v>10.65</v>
      </c>
      <c r="K5" s="6">
        <f t="shared" si="2"/>
        <v>9.398</v>
      </c>
      <c r="L5" s="6"/>
      <c r="O5" s="11"/>
      <c r="Q5" s="12" t="str">
        <f>IFS(P4&gt;P6,O6,P6&gt;P4,O4)</f>
        <v>Zofia Dobrzańska 2</v>
      </c>
      <c r="R5" s="10">
        <v>10.427</v>
      </c>
      <c r="S5" s="8"/>
      <c r="X5" s="6"/>
      <c r="Y5" s="6"/>
      <c r="Z5" s="6"/>
      <c r="AA5" s="6"/>
      <c r="AB5" s="6"/>
      <c r="AC5" s="6"/>
    </row>
    <row r="6">
      <c r="A6" s="3">
        <v>11.0</v>
      </c>
      <c r="B6" s="1" t="s">
        <v>56</v>
      </c>
      <c r="C6" s="1" t="s">
        <v>57</v>
      </c>
      <c r="D6" s="3">
        <v>3.0</v>
      </c>
      <c r="E6" s="3" t="str">
        <f t="shared" si="1"/>
        <v>Nina Niziołek 3</v>
      </c>
      <c r="F6" s="1" t="s">
        <v>47</v>
      </c>
      <c r="G6" s="3" t="s">
        <v>48</v>
      </c>
      <c r="H6" s="3" t="s">
        <v>48</v>
      </c>
      <c r="I6" s="3">
        <v>1000.0</v>
      </c>
      <c r="J6" s="3">
        <v>9.956</v>
      </c>
      <c r="K6" s="6">
        <f t="shared" si="2"/>
        <v>9.956</v>
      </c>
      <c r="L6" s="6"/>
      <c r="M6" s="8">
        <v>8.0</v>
      </c>
      <c r="O6" s="9" t="str">
        <f>E9</f>
        <v>Aleksandra Kopcińska 9</v>
      </c>
      <c r="P6" s="10">
        <v>10.244</v>
      </c>
      <c r="T6" s="8" t="s">
        <v>58</v>
      </c>
      <c r="X6" s="6"/>
      <c r="Y6" s="6"/>
      <c r="Z6" s="6"/>
      <c r="AA6" s="6"/>
      <c r="AB6" s="6"/>
      <c r="AC6" s="6"/>
    </row>
    <row r="7">
      <c r="A7" s="3">
        <v>12.0</v>
      </c>
      <c r="B7" s="1" t="s">
        <v>59</v>
      </c>
      <c r="C7" s="1" t="s">
        <v>54</v>
      </c>
      <c r="D7" s="3">
        <v>11.0</v>
      </c>
      <c r="E7" s="3" t="str">
        <f t="shared" si="1"/>
        <v>Zuzanna Płonka 11</v>
      </c>
      <c r="F7" s="1" t="s">
        <v>60</v>
      </c>
      <c r="G7" s="3" t="s">
        <v>48</v>
      </c>
      <c r="H7" s="3" t="s">
        <v>48</v>
      </c>
      <c r="I7" s="3">
        <v>10.321</v>
      </c>
      <c r="J7" s="3">
        <v>13.074</v>
      </c>
      <c r="K7" s="6">
        <f t="shared" si="2"/>
        <v>10.321</v>
      </c>
      <c r="L7" s="6"/>
      <c r="T7" s="13" t="str">
        <f>Ifs(R5&gt;R9,Q9,R9&gt;R5,Q5)</f>
        <v>Zuzanna Luby 7</v>
      </c>
      <c r="U7" s="10">
        <v>9.526</v>
      </c>
      <c r="V7" s="8" t="s">
        <v>61</v>
      </c>
      <c r="X7" s="6"/>
      <c r="Y7" s="6"/>
      <c r="Z7" s="6"/>
      <c r="AA7" s="6"/>
      <c r="AB7" s="6"/>
      <c r="AC7" s="6"/>
    </row>
    <row r="8">
      <c r="A8" s="3">
        <v>17.0</v>
      </c>
      <c r="B8" s="1" t="s">
        <v>62</v>
      </c>
      <c r="C8" s="1" t="s">
        <v>63</v>
      </c>
      <c r="D8" s="3">
        <v>15.0</v>
      </c>
      <c r="E8" s="3" t="str">
        <f t="shared" si="1"/>
        <v>Daria Zając 15</v>
      </c>
      <c r="F8" s="1" t="s">
        <v>64</v>
      </c>
      <c r="G8" s="3" t="s">
        <v>48</v>
      </c>
      <c r="H8" s="3" t="s">
        <v>48</v>
      </c>
      <c r="I8" s="3">
        <v>10.732</v>
      </c>
      <c r="J8" s="3">
        <v>11.649</v>
      </c>
      <c r="K8" s="6">
        <f t="shared" si="2"/>
        <v>10.732</v>
      </c>
      <c r="L8" s="6"/>
      <c r="M8" s="8">
        <v>4.0</v>
      </c>
      <c r="O8" s="9" t="str">
        <f>E5</f>
        <v>Zuzanna Luby 7</v>
      </c>
      <c r="P8" s="10">
        <v>8.814</v>
      </c>
      <c r="Q8" s="8" t="s">
        <v>38</v>
      </c>
      <c r="V8" s="14" t="str">
        <f>ifs(U9&gt;U7,T7,U7&gt;U9,T9)</f>
        <v>Antonina Tarczoń 4</v>
      </c>
      <c r="X8" s="6"/>
      <c r="Y8" s="6"/>
      <c r="Z8" s="6"/>
      <c r="AA8" s="6"/>
      <c r="AB8" s="6"/>
      <c r="AC8" s="6"/>
    </row>
    <row r="9">
      <c r="A9" s="15">
        <v>9.0</v>
      </c>
      <c r="B9" s="16" t="s">
        <v>65</v>
      </c>
      <c r="C9" s="16" t="s">
        <v>66</v>
      </c>
      <c r="D9" s="15">
        <v>9.0</v>
      </c>
      <c r="E9" s="15" t="str">
        <f t="shared" si="1"/>
        <v>Aleksandra Kopcińska 9</v>
      </c>
      <c r="F9" s="16" t="s">
        <v>55</v>
      </c>
      <c r="G9" s="15" t="s">
        <v>48</v>
      </c>
      <c r="H9" s="15" t="s">
        <v>48</v>
      </c>
      <c r="I9" s="15">
        <v>12.555</v>
      </c>
      <c r="J9" s="15">
        <v>11.106</v>
      </c>
      <c r="K9" s="17">
        <f t="shared" si="2"/>
        <v>11.106</v>
      </c>
      <c r="L9" s="3" t="s">
        <v>67</v>
      </c>
      <c r="O9" s="11"/>
      <c r="Q9" s="12" t="str">
        <f>IFS(P8&gt;P10,O10,P10&gt;P8,O8)</f>
        <v>Zuzanna Luby 7</v>
      </c>
      <c r="R9" s="10">
        <v>8.578</v>
      </c>
      <c r="S9" s="8"/>
      <c r="T9" s="13" t="str">
        <f>ifs(R13&gt;R17,Q17,R17&gt;R13,Q13)</f>
        <v>Antonina Tarczoń 4</v>
      </c>
      <c r="U9" s="10">
        <v>9.087</v>
      </c>
      <c r="V9" s="8" t="s">
        <v>68</v>
      </c>
      <c r="X9" s="6"/>
      <c r="Y9" s="6"/>
      <c r="Z9" s="6"/>
      <c r="AA9" s="6"/>
      <c r="AB9" s="6"/>
      <c r="AC9" s="6"/>
    </row>
    <row r="10">
      <c r="A10" s="3">
        <v>13.0</v>
      </c>
      <c r="B10" s="1" t="s">
        <v>69</v>
      </c>
      <c r="C10" s="1" t="s">
        <v>50</v>
      </c>
      <c r="D10" s="3">
        <v>5.0</v>
      </c>
      <c r="E10" s="3" t="str">
        <f t="shared" si="1"/>
        <v>Jagoda Podgórni 5</v>
      </c>
      <c r="F10" s="3"/>
      <c r="G10" s="3" t="s">
        <v>48</v>
      </c>
      <c r="H10" s="3" t="s">
        <v>48</v>
      </c>
      <c r="I10" s="3">
        <v>13.793</v>
      </c>
      <c r="J10" s="3">
        <v>1000.0</v>
      </c>
      <c r="K10" s="6">
        <f t="shared" si="2"/>
        <v>13.793</v>
      </c>
      <c r="L10" s="18"/>
      <c r="M10" s="8">
        <v>5.0</v>
      </c>
      <c r="O10" s="9" t="str">
        <f>E6</f>
        <v>Nina Niziołek 3</v>
      </c>
      <c r="P10" s="10">
        <v>10.864</v>
      </c>
      <c r="U10" s="8" t="s">
        <v>38</v>
      </c>
      <c r="V10" s="14" t="str">
        <f>ifs(U7&gt;U9,T7,U9&gt;U7,T9)</f>
        <v>Zuzanna Luby 7</v>
      </c>
      <c r="X10" s="6"/>
      <c r="Y10" s="6"/>
      <c r="Z10" s="6"/>
      <c r="AA10" s="6"/>
      <c r="AB10" s="6"/>
      <c r="AC10" s="6"/>
    </row>
    <row r="11">
      <c r="A11" s="3">
        <v>4.0</v>
      </c>
      <c r="B11" s="1" t="s">
        <v>70</v>
      </c>
      <c r="C11" s="1" t="s">
        <v>71</v>
      </c>
      <c r="D11" s="3">
        <v>27.0</v>
      </c>
      <c r="E11" s="3" t="str">
        <f t="shared" si="1"/>
        <v>Pola Dobrowolska 27</v>
      </c>
      <c r="F11" s="1" t="s">
        <v>72</v>
      </c>
      <c r="G11" s="3" t="s">
        <v>48</v>
      </c>
      <c r="H11" s="3" t="s">
        <v>48</v>
      </c>
      <c r="I11" s="3">
        <v>16.933</v>
      </c>
      <c r="J11" s="3">
        <v>14.127</v>
      </c>
      <c r="K11" s="6">
        <f t="shared" si="2"/>
        <v>14.127</v>
      </c>
      <c r="L11" s="6"/>
      <c r="X11" s="6"/>
      <c r="Y11" s="6"/>
      <c r="Z11" s="6"/>
      <c r="AA11" s="6"/>
      <c r="AB11" s="6"/>
      <c r="AC11" s="6"/>
    </row>
    <row r="12">
      <c r="A12" s="3">
        <v>14.0</v>
      </c>
      <c r="B12" s="1" t="s">
        <v>73</v>
      </c>
      <c r="C12" s="1" t="s">
        <v>74</v>
      </c>
      <c r="D12" s="3">
        <v>26.0</v>
      </c>
      <c r="E12" s="3" t="str">
        <f t="shared" si="1"/>
        <v>Kaja Świątek 26</v>
      </c>
      <c r="F12" s="1" t="s">
        <v>72</v>
      </c>
      <c r="G12" s="3" t="s">
        <v>48</v>
      </c>
      <c r="H12" s="3" t="s">
        <v>48</v>
      </c>
      <c r="I12" s="3">
        <v>14.972</v>
      </c>
      <c r="J12" s="3">
        <v>14.309</v>
      </c>
      <c r="K12" s="3">
        <v>14.309</v>
      </c>
      <c r="L12" s="6"/>
      <c r="M12" s="8">
        <v>2.0</v>
      </c>
      <c r="O12" s="9" t="str">
        <f>E3</f>
        <v>Jagoda Zalewska 19</v>
      </c>
      <c r="P12" s="10">
        <v>12.851</v>
      </c>
      <c r="T12" s="8" t="s">
        <v>75</v>
      </c>
      <c r="X12" s="6"/>
      <c r="Y12" s="6"/>
      <c r="Z12" s="6"/>
      <c r="AA12" s="6"/>
      <c r="AB12" s="6"/>
      <c r="AC12" s="6"/>
    </row>
    <row r="13">
      <c r="A13" s="3">
        <v>3.0</v>
      </c>
      <c r="B13" s="1" t="s">
        <v>76</v>
      </c>
      <c r="C13" s="1" t="s">
        <v>77</v>
      </c>
      <c r="D13" s="3">
        <v>10.0</v>
      </c>
      <c r="E13" s="3" t="str">
        <f t="shared" si="1"/>
        <v>Kinga Ciombor 10</v>
      </c>
      <c r="F13" s="1" t="s">
        <v>55</v>
      </c>
      <c r="G13" s="3" t="s">
        <v>48</v>
      </c>
      <c r="H13" s="3" t="s">
        <v>48</v>
      </c>
      <c r="I13" s="3">
        <v>15.005</v>
      </c>
      <c r="J13" s="3">
        <v>15.698</v>
      </c>
      <c r="K13" s="6">
        <f t="shared" ref="K13:K19" si="3">min(I13,J13)</f>
        <v>15.005</v>
      </c>
      <c r="L13" s="6"/>
      <c r="O13" s="11"/>
      <c r="Q13" s="12" t="str">
        <f>IFS(P12&gt;P14,O14,P14&gt;P12,O12)</f>
        <v>Daria Zając 15</v>
      </c>
      <c r="R13" s="10">
        <v>10.819</v>
      </c>
      <c r="S13" s="8"/>
      <c r="T13" s="12" t="str">
        <f>IFS(R5&gt;R9,Q5,R9&gt;R5,Q9)</f>
        <v>Zofia Dobrzańska 2</v>
      </c>
      <c r="U13" s="10">
        <v>7.791</v>
      </c>
      <c r="V13" s="8" t="s">
        <v>78</v>
      </c>
      <c r="X13" s="6"/>
      <c r="Y13" s="6"/>
      <c r="Z13" s="6"/>
      <c r="AA13" s="6"/>
      <c r="AB13" s="6"/>
      <c r="AC13" s="6"/>
    </row>
    <row r="14">
      <c r="A14" s="3">
        <v>2.0</v>
      </c>
      <c r="B14" s="1" t="s">
        <v>79</v>
      </c>
      <c r="C14" s="1" t="s">
        <v>80</v>
      </c>
      <c r="D14" s="3">
        <v>1.0</v>
      </c>
      <c r="E14" s="3" t="str">
        <f t="shared" si="1"/>
        <v>Amelia Cesarz 1</v>
      </c>
      <c r="F14" s="1" t="s">
        <v>47</v>
      </c>
      <c r="G14" s="3" t="s">
        <v>48</v>
      </c>
      <c r="H14" s="3" t="s">
        <v>48</v>
      </c>
      <c r="I14" s="3">
        <v>1000.0</v>
      </c>
      <c r="J14" s="3">
        <v>15.659</v>
      </c>
      <c r="K14" s="6">
        <f t="shared" si="3"/>
        <v>15.659</v>
      </c>
      <c r="L14" s="6"/>
      <c r="M14" s="8">
        <v>7.0</v>
      </c>
      <c r="O14" s="9" t="str">
        <f>E8</f>
        <v>Daria Zając 15</v>
      </c>
      <c r="P14" s="10">
        <v>10.764</v>
      </c>
      <c r="V14" s="14" t="str">
        <f>ifs(U15&gt;U13,T13,U13&gt;U15,T15)</f>
        <v>Zofia Dobrzańska 2</v>
      </c>
      <c r="X14" s="6"/>
      <c r="Y14" s="6"/>
      <c r="Z14" s="6"/>
      <c r="AA14" s="6"/>
      <c r="AB14" s="6"/>
      <c r="AC14" s="6"/>
    </row>
    <row r="15">
      <c r="A15" s="3">
        <v>8.0</v>
      </c>
      <c r="B15" s="1" t="s">
        <v>81</v>
      </c>
      <c r="C15" s="1" t="s">
        <v>82</v>
      </c>
      <c r="D15" s="3">
        <v>28.0</v>
      </c>
      <c r="E15" s="3" t="str">
        <f t="shared" si="1"/>
        <v>Martyna Kolanek 28</v>
      </c>
      <c r="F15" s="1" t="s">
        <v>22</v>
      </c>
      <c r="G15" s="3" t="s">
        <v>48</v>
      </c>
      <c r="H15" s="3" t="s">
        <v>48</v>
      </c>
      <c r="I15" s="3">
        <v>16.387</v>
      </c>
      <c r="J15" s="3">
        <v>19.3</v>
      </c>
      <c r="K15" s="6">
        <f t="shared" si="3"/>
        <v>16.387</v>
      </c>
      <c r="L15" s="6"/>
      <c r="T15" s="13" t="str">
        <f>IFS(R13&gt;R17,Q13,R17&gt;R13,Q17)</f>
        <v>Daria Zając 15</v>
      </c>
      <c r="U15" s="10">
        <v>9.941</v>
      </c>
      <c r="V15" s="8" t="s">
        <v>83</v>
      </c>
      <c r="X15" s="6"/>
      <c r="Y15" s="6"/>
      <c r="Z15" s="6"/>
      <c r="AA15" s="6"/>
      <c r="AB15" s="6"/>
      <c r="AC15" s="6"/>
    </row>
    <row r="16">
      <c r="A16" s="3">
        <v>7.0</v>
      </c>
      <c r="B16" s="1" t="s">
        <v>84</v>
      </c>
      <c r="C16" s="1" t="s">
        <v>85</v>
      </c>
      <c r="D16" s="3">
        <v>20.0</v>
      </c>
      <c r="E16" s="3" t="str">
        <f t="shared" si="1"/>
        <v>Kamila Kiersztyn 20</v>
      </c>
      <c r="F16" s="6"/>
      <c r="G16" s="3" t="s">
        <v>48</v>
      </c>
      <c r="H16" s="3" t="s">
        <v>48</v>
      </c>
      <c r="I16" s="3">
        <v>1000.0</v>
      </c>
      <c r="J16" s="3">
        <v>17.376</v>
      </c>
      <c r="K16" s="6">
        <f t="shared" si="3"/>
        <v>17.376</v>
      </c>
      <c r="L16" s="6"/>
      <c r="M16" s="8">
        <v>3.0</v>
      </c>
      <c r="O16" s="9" t="str">
        <f>E4</f>
        <v>Antonina Tarczoń 4</v>
      </c>
      <c r="P16" s="10">
        <v>8.661</v>
      </c>
      <c r="V16" s="14" t="str">
        <f>ifs(U13&gt;U15,T13,U15&gt;U13,T15)</f>
        <v>Daria Zając 15</v>
      </c>
      <c r="X16" s="6"/>
      <c r="Y16" s="6"/>
      <c r="Z16" s="6"/>
      <c r="AA16" s="6"/>
      <c r="AB16" s="6"/>
      <c r="AC16" s="6"/>
    </row>
    <row r="17">
      <c r="A17" s="3">
        <v>1.0</v>
      </c>
      <c r="B17" s="1" t="s">
        <v>86</v>
      </c>
      <c r="C17" s="1" t="s">
        <v>87</v>
      </c>
      <c r="D17" s="3">
        <v>21.0</v>
      </c>
      <c r="E17" s="3" t="str">
        <f t="shared" si="1"/>
        <v>Oliwia Bombiak-Matuszewska 21</v>
      </c>
      <c r="F17" s="1" t="s">
        <v>88</v>
      </c>
      <c r="G17" s="3" t="s">
        <v>48</v>
      </c>
      <c r="H17" s="3" t="s">
        <v>48</v>
      </c>
      <c r="I17" s="3">
        <v>26.11</v>
      </c>
      <c r="J17" s="3">
        <v>23.869</v>
      </c>
      <c r="K17" s="6">
        <f t="shared" si="3"/>
        <v>23.869</v>
      </c>
      <c r="L17" s="6"/>
      <c r="O17" s="11"/>
      <c r="Q17" s="12" t="str">
        <f>IFS(P16&gt;P18,O18,P18&gt;P16,O16)</f>
        <v>Antonina Tarczoń 4</v>
      </c>
      <c r="R17" s="10">
        <v>9.834</v>
      </c>
      <c r="S17" s="8"/>
      <c r="X17" s="6"/>
      <c r="Y17" s="6"/>
      <c r="Z17" s="6"/>
      <c r="AA17" s="6"/>
      <c r="AB17" s="6"/>
      <c r="AC17" s="6"/>
    </row>
    <row r="18">
      <c r="A18" s="3">
        <v>15.0</v>
      </c>
      <c r="B18" s="1" t="s">
        <v>89</v>
      </c>
      <c r="C18" s="1" t="s">
        <v>52</v>
      </c>
      <c r="D18" s="3">
        <v>12.0</v>
      </c>
      <c r="E18" s="3" t="str">
        <f t="shared" si="1"/>
        <v>Antonina Świerczek 12</v>
      </c>
      <c r="F18" s="1" t="s">
        <v>22</v>
      </c>
      <c r="G18" s="3" t="s">
        <v>48</v>
      </c>
      <c r="H18" s="3" t="s">
        <v>48</v>
      </c>
      <c r="I18" s="3">
        <v>27.533</v>
      </c>
      <c r="J18" s="3">
        <v>1000.0</v>
      </c>
      <c r="K18" s="6">
        <f t="shared" si="3"/>
        <v>27.533</v>
      </c>
      <c r="L18" s="6"/>
      <c r="M18" s="8">
        <v>6.0</v>
      </c>
      <c r="O18" s="9" t="str">
        <f>E7</f>
        <v>Zuzanna Płonka 11</v>
      </c>
      <c r="P18" s="10">
        <v>10.489</v>
      </c>
      <c r="X18" s="6"/>
      <c r="Y18" s="6"/>
      <c r="Z18" s="6"/>
      <c r="AA18" s="6"/>
      <c r="AB18" s="6"/>
      <c r="AC18" s="6"/>
    </row>
    <row r="19">
      <c r="A19" s="3">
        <v>6.0</v>
      </c>
      <c r="B19" s="1" t="s">
        <v>90</v>
      </c>
      <c r="C19" s="1" t="s">
        <v>80</v>
      </c>
      <c r="D19" s="3">
        <v>13.0</v>
      </c>
      <c r="E19" s="3" t="str">
        <f t="shared" si="1"/>
        <v>Amelia Fent 13</v>
      </c>
      <c r="F19" s="1" t="s">
        <v>22</v>
      </c>
      <c r="G19" s="3" t="s">
        <v>48</v>
      </c>
      <c r="H19" s="3" t="s">
        <v>48</v>
      </c>
      <c r="I19" s="3">
        <v>1000.0</v>
      </c>
      <c r="J19" s="3">
        <v>1000.0</v>
      </c>
      <c r="K19" s="6">
        <f t="shared" si="3"/>
        <v>1000</v>
      </c>
      <c r="L19" s="6"/>
      <c r="X19" s="6"/>
      <c r="Y19" s="6"/>
      <c r="Z19" s="6"/>
      <c r="AA19" s="6"/>
      <c r="AB19" s="6"/>
      <c r="AC19" s="6"/>
    </row>
    <row r="20">
      <c r="A20" s="3"/>
      <c r="B20" s="1"/>
      <c r="C20" s="1"/>
      <c r="D20" s="1"/>
      <c r="E20" s="1"/>
      <c r="F20" s="1"/>
      <c r="G20" s="1" t="s">
        <v>38</v>
      </c>
      <c r="H20" s="6"/>
      <c r="I20" s="6"/>
      <c r="J20" s="6"/>
      <c r="K20" s="6"/>
      <c r="L20" s="6"/>
      <c r="U20" s="19"/>
      <c r="X20" s="6"/>
      <c r="Y20" s="6"/>
      <c r="Z20" s="6"/>
      <c r="AA20" s="6"/>
      <c r="AB20" s="6"/>
      <c r="AC20" s="6"/>
    </row>
    <row r="21">
      <c r="A21" s="3"/>
      <c r="B21" s="3"/>
      <c r="C21" s="1"/>
      <c r="D21" s="1"/>
      <c r="E21" s="1"/>
      <c r="F21" s="1"/>
      <c r="G21" s="1" t="s">
        <v>38</v>
      </c>
      <c r="H21" s="6"/>
      <c r="I21" s="6"/>
      <c r="J21" s="6"/>
      <c r="K21" s="6"/>
      <c r="L21" s="6"/>
      <c r="V21" s="19"/>
      <c r="X21" s="6"/>
      <c r="Y21" s="6"/>
      <c r="Z21" s="6"/>
      <c r="AA21" s="6"/>
      <c r="AB21" s="6"/>
      <c r="AC21" s="6"/>
    </row>
    <row r="22">
      <c r="I22" s="6"/>
      <c r="J22" s="6"/>
      <c r="K22" s="6"/>
      <c r="L22" s="6"/>
      <c r="X22" s="6"/>
      <c r="Y22" s="6"/>
      <c r="Z22" s="6"/>
      <c r="AA22" s="6"/>
      <c r="AB22" s="6"/>
      <c r="AC22" s="6"/>
    </row>
    <row r="23">
      <c r="A23" s="3"/>
      <c r="B23" s="1"/>
      <c r="C23" s="1"/>
      <c r="D23" s="3"/>
      <c r="E23" s="3"/>
      <c r="F23" s="1" t="s">
        <v>55</v>
      </c>
      <c r="I23" s="6"/>
      <c r="J23" s="6"/>
      <c r="K23" s="6"/>
      <c r="L23" s="6"/>
      <c r="S23" s="19"/>
      <c r="V23" s="19"/>
      <c r="X23" s="6"/>
      <c r="Y23" s="6"/>
      <c r="Z23" s="6"/>
      <c r="AA23" s="6"/>
      <c r="AB23" s="6"/>
      <c r="AC23" s="6"/>
    </row>
    <row r="24">
      <c r="A24" s="3"/>
      <c r="B24" s="1"/>
      <c r="C24" s="1"/>
      <c r="D24" s="3"/>
      <c r="E24" s="3"/>
      <c r="F24" s="1" t="s">
        <v>47</v>
      </c>
      <c r="G24" s="6"/>
      <c r="H24" s="6"/>
      <c r="I24" s="6"/>
      <c r="J24" s="6"/>
      <c r="K24" s="6"/>
      <c r="L24" s="6"/>
      <c r="X24" s="6"/>
      <c r="Y24" s="6"/>
      <c r="Z24" s="6"/>
      <c r="AA24" s="6"/>
      <c r="AB24" s="6"/>
      <c r="AC24" s="6"/>
    </row>
    <row r="25">
      <c r="A25" s="3"/>
      <c r="B25" s="1"/>
      <c r="C25" s="1"/>
      <c r="D25" s="3"/>
      <c r="E25" s="3"/>
      <c r="F25" s="1" t="s">
        <v>60</v>
      </c>
      <c r="G25" s="6"/>
      <c r="H25" s="6"/>
      <c r="I25" s="6"/>
      <c r="J25" s="6"/>
      <c r="K25" s="6"/>
      <c r="L25" s="6"/>
      <c r="X25" s="6"/>
      <c r="Y25" s="6"/>
      <c r="Z25" s="6"/>
      <c r="AA25" s="6"/>
      <c r="AB25" s="6"/>
      <c r="AC25" s="6"/>
    </row>
    <row r="26">
      <c r="A26" s="3"/>
      <c r="B26" s="1"/>
      <c r="C26" s="1"/>
      <c r="D26" s="3"/>
      <c r="E26" s="3"/>
      <c r="F26" s="3"/>
      <c r="G26" s="6"/>
      <c r="H26" s="6"/>
      <c r="I26" s="6"/>
      <c r="J26" s="6"/>
      <c r="K26" s="6"/>
      <c r="L26" s="6"/>
      <c r="X26" s="6"/>
      <c r="Y26" s="6"/>
      <c r="Z26" s="6"/>
      <c r="AA26" s="6"/>
      <c r="AB26" s="6"/>
      <c r="AC26" s="6"/>
    </row>
    <row r="27">
      <c r="A27" s="3"/>
      <c r="B27" s="1"/>
      <c r="C27" s="1"/>
      <c r="D27" s="3"/>
      <c r="E27" s="3"/>
      <c r="F27" s="1" t="s">
        <v>72</v>
      </c>
      <c r="G27" s="6"/>
      <c r="H27" s="6"/>
      <c r="I27" s="6"/>
      <c r="J27" s="6"/>
      <c r="K27" s="6"/>
      <c r="L27" s="6"/>
      <c r="X27" s="6"/>
      <c r="Y27" s="6"/>
      <c r="Z27" s="6"/>
      <c r="AA27" s="6"/>
      <c r="AB27" s="6"/>
      <c r="AC27" s="6"/>
    </row>
    <row r="28">
      <c r="A28" s="3"/>
      <c r="B28" s="1"/>
      <c r="C28" s="1"/>
      <c r="D28" s="3"/>
      <c r="E28" s="3"/>
      <c r="F28" s="1" t="s">
        <v>22</v>
      </c>
      <c r="G28" s="6"/>
      <c r="H28" s="6"/>
      <c r="I28" s="6"/>
      <c r="J28" s="6"/>
      <c r="K28" s="6"/>
      <c r="L28" s="6"/>
      <c r="X28" s="6"/>
      <c r="Y28" s="6"/>
      <c r="Z28" s="6"/>
      <c r="AA28" s="6"/>
      <c r="AB28" s="6"/>
      <c r="AC28" s="6"/>
    </row>
    <row r="29">
      <c r="A29" s="3"/>
      <c r="B29" s="1"/>
      <c r="C29" s="1"/>
      <c r="D29" s="3"/>
      <c r="E29" s="3"/>
      <c r="F29" s="1" t="s">
        <v>12</v>
      </c>
      <c r="G29" s="6"/>
      <c r="H29" s="6"/>
      <c r="I29" s="6"/>
      <c r="J29" s="6"/>
      <c r="K29" s="6"/>
      <c r="L29" s="6"/>
      <c r="X29" s="6"/>
      <c r="Y29" s="6"/>
      <c r="Z29" s="6"/>
      <c r="AA29" s="6"/>
      <c r="AB29" s="6"/>
      <c r="AC29" s="6"/>
    </row>
    <row r="30">
      <c r="A30" s="3"/>
      <c r="B30" s="1"/>
      <c r="C30" s="1"/>
      <c r="D30" s="3"/>
      <c r="E30" s="3"/>
      <c r="F30" s="1" t="s">
        <v>64</v>
      </c>
      <c r="G30" s="6"/>
      <c r="H30" s="6"/>
      <c r="I30" s="6"/>
      <c r="J30" s="6"/>
      <c r="K30" s="6"/>
      <c r="L30" s="6"/>
      <c r="X30" s="6"/>
      <c r="Y30" s="6"/>
      <c r="Z30" s="6"/>
      <c r="AA30" s="6"/>
      <c r="AB30" s="6"/>
      <c r="AC30" s="6"/>
    </row>
    <row r="31">
      <c r="A31" s="3"/>
      <c r="B31" s="1"/>
      <c r="C31" s="1"/>
      <c r="D31" s="3"/>
      <c r="E31" s="3"/>
      <c r="F31" s="1" t="s">
        <v>22</v>
      </c>
      <c r="G31" s="6"/>
      <c r="H31" s="6"/>
      <c r="I31" s="6"/>
      <c r="J31" s="6"/>
      <c r="K31" s="6"/>
      <c r="L31" s="6"/>
      <c r="S31" s="19"/>
      <c r="X31" s="6"/>
      <c r="Y31" s="6"/>
      <c r="Z31" s="6"/>
      <c r="AA31" s="6"/>
      <c r="AB31" s="6"/>
      <c r="AC31" s="6"/>
    </row>
    <row r="32">
      <c r="A32" s="3"/>
      <c r="B32" s="1"/>
      <c r="C32" s="1"/>
      <c r="D32" s="3"/>
      <c r="E32" s="3"/>
      <c r="F32" s="1" t="s">
        <v>88</v>
      </c>
      <c r="G32" s="6"/>
      <c r="H32" s="6"/>
      <c r="I32" s="6"/>
      <c r="J32" s="6"/>
      <c r="K32" s="6"/>
      <c r="L32" s="6"/>
      <c r="X32" s="6"/>
      <c r="Y32" s="6"/>
      <c r="Z32" s="6"/>
      <c r="AA32" s="6"/>
      <c r="AB32" s="6"/>
      <c r="AC32" s="6"/>
    </row>
    <row r="33">
      <c r="A33" s="3"/>
      <c r="B33" s="1"/>
      <c r="C33" s="1"/>
      <c r="D33" s="3"/>
      <c r="E33" s="3"/>
      <c r="F33" s="1" t="s">
        <v>47</v>
      </c>
      <c r="G33" s="6"/>
      <c r="H33" s="6"/>
      <c r="I33" s="6"/>
      <c r="J33" s="6"/>
      <c r="K33" s="6"/>
      <c r="L33" s="6"/>
      <c r="X33" s="6"/>
      <c r="Y33" s="6"/>
      <c r="Z33" s="6"/>
      <c r="AA33" s="6"/>
      <c r="AB33" s="6"/>
      <c r="AC33" s="6"/>
    </row>
    <row r="34">
      <c r="A34" s="3"/>
      <c r="B34" s="1"/>
      <c r="C34" s="1"/>
      <c r="D34" s="3"/>
      <c r="E34" s="3"/>
      <c r="F34" s="1" t="s">
        <v>55</v>
      </c>
      <c r="G34" s="6"/>
      <c r="H34" s="6"/>
      <c r="I34" s="6"/>
      <c r="J34" s="6"/>
      <c r="K34" s="6"/>
      <c r="L34" s="6"/>
      <c r="X34" s="6"/>
      <c r="Y34" s="6"/>
      <c r="Z34" s="6"/>
      <c r="AA34" s="6"/>
      <c r="AB34" s="6"/>
      <c r="AC34" s="6"/>
    </row>
    <row r="35">
      <c r="A35" s="3"/>
      <c r="B35" s="1"/>
      <c r="C35" s="1"/>
      <c r="D35" s="3"/>
      <c r="E35" s="3"/>
      <c r="F35" s="1" t="s">
        <v>72</v>
      </c>
      <c r="G35" s="6"/>
      <c r="H35" s="6"/>
      <c r="I35" s="6"/>
      <c r="J35" s="6"/>
      <c r="K35" s="6"/>
      <c r="L35" s="6"/>
      <c r="X35" s="6"/>
      <c r="Y35" s="6"/>
      <c r="Z35" s="6"/>
      <c r="AA35" s="6"/>
      <c r="AB35" s="6"/>
      <c r="AC35" s="6"/>
    </row>
    <row r="36">
      <c r="A36" s="3"/>
      <c r="B36" s="1"/>
      <c r="C36" s="1"/>
      <c r="D36" s="3"/>
      <c r="E36" s="3"/>
      <c r="F36" s="1" t="s">
        <v>47</v>
      </c>
      <c r="G36" s="6"/>
      <c r="H36" s="6"/>
      <c r="I36" s="6"/>
      <c r="J36" s="6"/>
      <c r="K36" s="6"/>
      <c r="L36" s="6"/>
      <c r="X36" s="6"/>
      <c r="Y36" s="6"/>
      <c r="Z36" s="6"/>
      <c r="AA36" s="6"/>
      <c r="AB36" s="6"/>
      <c r="AC36" s="6"/>
    </row>
    <row r="37">
      <c r="A37" s="3"/>
      <c r="B37" s="1"/>
      <c r="C37" s="1"/>
      <c r="D37" s="3"/>
      <c r="E37" s="3"/>
      <c r="F37" s="1" t="s">
        <v>22</v>
      </c>
      <c r="G37" s="6"/>
      <c r="H37" s="6"/>
      <c r="I37" s="6"/>
      <c r="J37" s="6"/>
      <c r="K37" s="6"/>
      <c r="L37" s="6"/>
      <c r="X37" s="6"/>
      <c r="Y37" s="6"/>
      <c r="Z37" s="6"/>
      <c r="AA37" s="6"/>
      <c r="AB37" s="6"/>
      <c r="AC37" s="6"/>
    </row>
    <row r="38">
      <c r="A38" s="3"/>
      <c r="B38" s="1"/>
      <c r="C38" s="1"/>
      <c r="D38" s="3"/>
      <c r="E38" s="3"/>
      <c r="F38" s="6"/>
      <c r="G38" s="6"/>
      <c r="H38" s="6"/>
      <c r="I38" s="6"/>
      <c r="J38" s="6"/>
      <c r="K38" s="6"/>
      <c r="L38" s="6"/>
      <c r="X38" s="6"/>
      <c r="Y38" s="6"/>
      <c r="Z38" s="6"/>
      <c r="AA38" s="6"/>
      <c r="AB38" s="6"/>
      <c r="AC38" s="6"/>
    </row>
    <row r="39">
      <c r="A39" s="3"/>
      <c r="B39" s="1"/>
      <c r="C39" s="1"/>
      <c r="D39" s="3"/>
      <c r="E39" s="3"/>
      <c r="F39" s="1" t="s">
        <v>22</v>
      </c>
      <c r="G39" s="6"/>
      <c r="H39" s="6"/>
      <c r="I39" s="6"/>
      <c r="J39" s="6"/>
      <c r="K39" s="6"/>
      <c r="L39" s="6"/>
      <c r="X39" s="6"/>
      <c r="Y39" s="6"/>
      <c r="Z39" s="6"/>
      <c r="AA39" s="6"/>
      <c r="AB39" s="6"/>
      <c r="AC39" s="6"/>
    </row>
    <row r="40">
      <c r="A40" s="3"/>
      <c r="B40" s="1"/>
      <c r="C40" s="1"/>
      <c r="D40" s="3"/>
      <c r="E40" s="3"/>
      <c r="F40" s="1" t="s">
        <v>55</v>
      </c>
      <c r="G40" s="6"/>
      <c r="H40" s="6"/>
      <c r="I40" s="6"/>
      <c r="J40" s="6"/>
      <c r="K40" s="6"/>
      <c r="L40" s="6"/>
      <c r="X40" s="6"/>
      <c r="Y40" s="6"/>
      <c r="Z40" s="6"/>
      <c r="AA40" s="6"/>
      <c r="AB40" s="6"/>
      <c r="AC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</sheetData>
  <printOptions gridLines="1"/>
  <pageMargins bottom="0.75" footer="0.0" header="0.0" left="0.7" right="0.7" top="0.75"/>
  <pageSetup fitToHeight="0" paperSize="14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5.38"/>
    <col customWidth="1" min="4" max="4" width="10.88"/>
    <col customWidth="1" hidden="1" min="5" max="5" width="19.0"/>
    <col customWidth="1" min="6" max="6" width="30.63"/>
    <col hidden="1" min="7" max="8" width="12.63"/>
    <col customWidth="1" min="13" max="13" width="6.0"/>
    <col customWidth="1" min="14" max="14" width="20.5"/>
    <col customWidth="1" min="16" max="16" width="21.75"/>
    <col customWidth="1" min="18" max="18" width="6.25"/>
    <col customWidth="1" min="19" max="19" width="19.13"/>
    <col customWidth="1" min="21" max="21" width="23.0"/>
  </cols>
  <sheetData>
    <row r="1">
      <c r="A1" s="1" t="s">
        <v>1</v>
      </c>
      <c r="B1" s="1" t="s">
        <v>2</v>
      </c>
      <c r="C1" s="1" t="s">
        <v>3</v>
      </c>
      <c r="D1" s="4" t="s">
        <v>4</v>
      </c>
      <c r="E1" s="4"/>
      <c r="F1" s="1" t="s">
        <v>5</v>
      </c>
      <c r="G1" s="1" t="s">
        <v>40</v>
      </c>
      <c r="H1" s="20" t="s">
        <v>41</v>
      </c>
      <c r="I1" s="20" t="s">
        <v>42</v>
      </c>
      <c r="J1" s="21" t="s">
        <v>43</v>
      </c>
      <c r="K1" s="3" t="s">
        <v>44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>
      <c r="A2" s="3">
        <v>1.0</v>
      </c>
      <c r="B2" s="1" t="s">
        <v>91</v>
      </c>
      <c r="C2" s="1" t="s">
        <v>92</v>
      </c>
      <c r="D2" s="3">
        <v>22.0</v>
      </c>
      <c r="E2" s="3" t="str">
        <f t="shared" ref="E2:E14" si="1">C2&amp;" "&amp;B2&amp;" "&amp;D2</f>
        <v>Franek Bilejczyk 22</v>
      </c>
      <c r="F2" s="1" t="s">
        <v>72</v>
      </c>
      <c r="G2" s="3" t="s">
        <v>48</v>
      </c>
      <c r="H2" s="20" t="s">
        <v>48</v>
      </c>
      <c r="I2" s="20">
        <v>9.526</v>
      </c>
      <c r="J2" s="21">
        <v>10.89</v>
      </c>
      <c r="K2" s="22">
        <f t="shared" ref="K2:K14" si="2">Min(J2,I2)</f>
        <v>9.526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>
      <c r="A3" s="3">
        <v>11.0</v>
      </c>
      <c r="B3" s="1" t="s">
        <v>93</v>
      </c>
      <c r="C3" s="1" t="s">
        <v>94</v>
      </c>
      <c r="D3" s="3">
        <v>6.0</v>
      </c>
      <c r="E3" s="3" t="str">
        <f t="shared" si="1"/>
        <v>Maciej Oleksy 6</v>
      </c>
      <c r="F3" s="1" t="s">
        <v>55</v>
      </c>
      <c r="G3" s="3" t="s">
        <v>48</v>
      </c>
      <c r="H3" s="20" t="s">
        <v>48</v>
      </c>
      <c r="I3" s="20">
        <v>11.321</v>
      </c>
      <c r="J3" s="21">
        <v>12.217</v>
      </c>
      <c r="K3" s="22">
        <f t="shared" si="2"/>
        <v>11.321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>
      <c r="A4" s="3">
        <v>5.0</v>
      </c>
      <c r="B4" s="1" t="s">
        <v>95</v>
      </c>
      <c r="C4" s="1" t="s">
        <v>96</v>
      </c>
      <c r="D4" s="3">
        <v>8.0</v>
      </c>
      <c r="E4" s="3" t="str">
        <f t="shared" si="1"/>
        <v>Gabriel Kasiński 8</v>
      </c>
      <c r="F4" s="1" t="s">
        <v>55</v>
      </c>
      <c r="G4" s="3" t="s">
        <v>48</v>
      </c>
      <c r="H4" s="20" t="s">
        <v>48</v>
      </c>
      <c r="I4" s="20">
        <v>13.415</v>
      </c>
      <c r="J4" s="21">
        <v>11.735</v>
      </c>
      <c r="K4" s="22">
        <f t="shared" si="2"/>
        <v>11.735</v>
      </c>
      <c r="L4" s="22"/>
      <c r="N4" s="9" t="str">
        <f>E2</f>
        <v>Franek Bilejczyk 22</v>
      </c>
      <c r="O4" s="10">
        <v>10.518</v>
      </c>
      <c r="V4" s="22"/>
      <c r="W4" s="22"/>
      <c r="X4" s="22"/>
      <c r="Y4" s="22"/>
      <c r="Z4" s="22"/>
      <c r="AA4" s="22"/>
      <c r="AB4" s="22"/>
    </row>
    <row r="5">
      <c r="A5" s="3">
        <v>4.0</v>
      </c>
      <c r="B5" s="1" t="s">
        <v>97</v>
      </c>
      <c r="C5" s="1" t="s">
        <v>98</v>
      </c>
      <c r="D5" s="3">
        <v>25.0</v>
      </c>
      <c r="E5" s="3" t="str">
        <f t="shared" si="1"/>
        <v>Krzysztof Fronczak 25</v>
      </c>
      <c r="F5" s="1" t="s">
        <v>72</v>
      </c>
      <c r="G5" s="3" t="s">
        <v>48</v>
      </c>
      <c r="H5" s="20" t="s">
        <v>48</v>
      </c>
      <c r="I5" s="20">
        <v>1000.0</v>
      </c>
      <c r="J5" s="21">
        <v>12.454</v>
      </c>
      <c r="K5" s="22">
        <f t="shared" si="2"/>
        <v>12.454</v>
      </c>
      <c r="L5" s="22"/>
      <c r="N5" s="11"/>
      <c r="P5" s="12" t="str">
        <f>IFS(O4&gt;O6,N6,O6&gt;O4,N4)</f>
        <v>Franek Bilejczyk 22</v>
      </c>
      <c r="Q5" s="10">
        <v>1000.0</v>
      </c>
      <c r="R5" s="8"/>
      <c r="V5" s="22"/>
      <c r="W5" s="22"/>
      <c r="X5" s="22"/>
      <c r="Y5" s="22"/>
      <c r="Z5" s="22"/>
      <c r="AA5" s="22"/>
      <c r="AB5" s="22"/>
    </row>
    <row r="6">
      <c r="A6" s="3">
        <v>2.0</v>
      </c>
      <c r="B6" s="1" t="s">
        <v>99</v>
      </c>
      <c r="C6" s="1" t="s">
        <v>21</v>
      </c>
      <c r="D6" s="3">
        <v>17.0</v>
      </c>
      <c r="E6" s="3" t="str">
        <f t="shared" si="1"/>
        <v>Jan Chaciński 17</v>
      </c>
      <c r="F6" s="1" t="s">
        <v>28</v>
      </c>
      <c r="G6" s="3" t="s">
        <v>48</v>
      </c>
      <c r="H6" s="20" t="s">
        <v>48</v>
      </c>
      <c r="I6" s="20">
        <v>13.806</v>
      </c>
      <c r="J6" s="21">
        <v>12.607</v>
      </c>
      <c r="K6" s="22">
        <f t="shared" si="2"/>
        <v>12.607</v>
      </c>
      <c r="L6" s="22"/>
      <c r="N6" s="9" t="str">
        <f>E9</f>
        <v>Maksymilian Myśliwiec 29</v>
      </c>
      <c r="O6" s="10">
        <v>16.698</v>
      </c>
      <c r="S6" s="8" t="s">
        <v>58</v>
      </c>
      <c r="V6" s="22"/>
      <c r="W6" s="22"/>
      <c r="X6" s="22"/>
      <c r="Y6" s="22"/>
      <c r="Z6" s="22"/>
      <c r="AA6" s="22"/>
      <c r="AB6" s="22"/>
    </row>
    <row r="7">
      <c r="A7" s="3">
        <v>8.0</v>
      </c>
      <c r="B7" s="1" t="s">
        <v>100</v>
      </c>
      <c r="C7" s="1" t="s">
        <v>101</v>
      </c>
      <c r="D7" s="3">
        <v>18.0</v>
      </c>
      <c r="E7" s="3" t="str">
        <f t="shared" si="1"/>
        <v>Bartosz Laskowski 18</v>
      </c>
      <c r="F7" s="1" t="s">
        <v>102</v>
      </c>
      <c r="G7" s="3" t="s">
        <v>48</v>
      </c>
      <c r="H7" s="20" t="s">
        <v>48</v>
      </c>
      <c r="I7" s="20">
        <v>13.657</v>
      </c>
      <c r="J7" s="21">
        <v>15.172</v>
      </c>
      <c r="K7" s="22">
        <f t="shared" si="2"/>
        <v>13.657</v>
      </c>
      <c r="L7" s="22"/>
      <c r="S7" s="13" t="str">
        <f>Ifs(Q5&gt;Q9,P9,Q9&gt;Q5,P5)</f>
        <v>Krzysztof Fronczak 25</v>
      </c>
      <c r="T7" s="10">
        <v>9.294</v>
      </c>
      <c r="U7" s="8"/>
      <c r="V7" s="22"/>
      <c r="W7" s="22"/>
      <c r="X7" s="22"/>
      <c r="Y7" s="22"/>
      <c r="Z7" s="22"/>
      <c r="AA7" s="22"/>
      <c r="AB7" s="22"/>
    </row>
    <row r="8">
      <c r="A8" s="3">
        <v>9.0</v>
      </c>
      <c r="B8" s="1" t="s">
        <v>103</v>
      </c>
      <c r="C8" s="1" t="s">
        <v>104</v>
      </c>
      <c r="D8" s="3">
        <v>16.0</v>
      </c>
      <c r="E8" s="3" t="str">
        <f t="shared" si="1"/>
        <v>Antoni Marcisz 16</v>
      </c>
      <c r="F8" s="1" t="s">
        <v>64</v>
      </c>
      <c r="G8" s="3" t="s">
        <v>48</v>
      </c>
      <c r="H8" s="20" t="s">
        <v>48</v>
      </c>
      <c r="I8" s="20">
        <v>14.63</v>
      </c>
      <c r="J8" s="21">
        <v>13.696</v>
      </c>
      <c r="K8" s="22">
        <f t="shared" si="2"/>
        <v>13.696</v>
      </c>
      <c r="L8" s="22"/>
      <c r="N8" s="9" t="str">
        <f>E5</f>
        <v>Krzysztof Fronczak 25</v>
      </c>
      <c r="O8" s="10">
        <v>11.347</v>
      </c>
      <c r="P8" s="8" t="s">
        <v>38</v>
      </c>
      <c r="U8" s="14" t="str">
        <f>ifs(T9&gt;T7,S7,T7&gt;T9,S9)</f>
        <v>Krzysztof Fronczak 25</v>
      </c>
      <c r="V8" s="22"/>
      <c r="W8" s="22"/>
      <c r="X8" s="22"/>
      <c r="Y8" s="22"/>
      <c r="Z8" s="22"/>
      <c r="AA8" s="22"/>
      <c r="AB8" s="22"/>
    </row>
    <row r="9">
      <c r="A9" s="15">
        <v>10.0</v>
      </c>
      <c r="B9" s="16" t="s">
        <v>105</v>
      </c>
      <c r="C9" s="16" t="s">
        <v>106</v>
      </c>
      <c r="D9" s="15">
        <v>29.0</v>
      </c>
      <c r="E9" s="15" t="str">
        <f t="shared" si="1"/>
        <v>Maksymilian Myśliwiec 29</v>
      </c>
      <c r="F9" s="23" t="s">
        <v>107</v>
      </c>
      <c r="G9" s="15" t="s">
        <v>48</v>
      </c>
      <c r="H9" s="24" t="s">
        <v>48</v>
      </c>
      <c r="I9" s="24">
        <v>14.107</v>
      </c>
      <c r="J9" s="25">
        <v>2000.0</v>
      </c>
      <c r="K9" s="22">
        <f t="shared" si="2"/>
        <v>14.107</v>
      </c>
      <c r="L9" s="21" t="s">
        <v>67</v>
      </c>
      <c r="N9" s="11"/>
      <c r="P9" s="12" t="str">
        <f>IFS(O8&gt;O10,N10,O10&gt;O8,N8)</f>
        <v>Krzysztof Fronczak 25</v>
      </c>
      <c r="Q9" s="10">
        <v>8.842</v>
      </c>
      <c r="R9" s="8"/>
      <c r="S9" s="13" t="str">
        <f>ifs(Q13&gt;Q17,P17,Q17&gt;Q13,P13)</f>
        <v>Maciej Oleksy 6</v>
      </c>
      <c r="T9" s="10">
        <v>11.174</v>
      </c>
      <c r="U9" s="8" t="s">
        <v>68</v>
      </c>
      <c r="V9" s="22"/>
      <c r="W9" s="22"/>
      <c r="X9" s="22"/>
      <c r="Y9" s="22"/>
      <c r="Z9" s="22"/>
      <c r="AA9" s="22"/>
      <c r="AB9" s="22"/>
    </row>
    <row r="10">
      <c r="A10" s="3">
        <v>13.0</v>
      </c>
      <c r="B10" s="1" t="s">
        <v>108</v>
      </c>
      <c r="C10" s="1" t="s">
        <v>21</v>
      </c>
      <c r="D10" s="3">
        <v>24.0</v>
      </c>
      <c r="E10" s="3" t="str">
        <f t="shared" si="1"/>
        <v>Jan Prajsnar 24</v>
      </c>
      <c r="F10" s="1" t="s">
        <v>72</v>
      </c>
      <c r="G10" s="3" t="s">
        <v>48</v>
      </c>
      <c r="H10" s="21" t="s">
        <v>48</v>
      </c>
      <c r="I10" s="20">
        <v>14.437</v>
      </c>
      <c r="J10" s="21">
        <v>17.85</v>
      </c>
      <c r="K10" s="26">
        <f t="shared" si="2"/>
        <v>14.437</v>
      </c>
      <c r="L10" s="26"/>
      <c r="N10" s="9" t="str">
        <f>E6</f>
        <v>Jan Chaciński 17</v>
      </c>
      <c r="O10" s="10">
        <v>12.129</v>
      </c>
      <c r="T10" s="8" t="s">
        <v>38</v>
      </c>
      <c r="U10" s="14" t="str">
        <f>ifs(T7&gt;T9,S7,T9&gt;T7,S9)</f>
        <v>Maciej Oleksy 6</v>
      </c>
      <c r="V10" s="22"/>
      <c r="W10" s="22"/>
      <c r="X10" s="22"/>
      <c r="Y10" s="22"/>
      <c r="Z10" s="22"/>
      <c r="AA10" s="22"/>
      <c r="AB10" s="22"/>
    </row>
    <row r="11">
      <c r="A11" s="3">
        <v>6.0</v>
      </c>
      <c r="B11" s="1" t="s">
        <v>109</v>
      </c>
      <c r="C11" s="1" t="s">
        <v>110</v>
      </c>
      <c r="D11" s="3">
        <v>23.0</v>
      </c>
      <c r="E11" s="3" t="str">
        <f t="shared" si="1"/>
        <v>Kajetan Kozak 23</v>
      </c>
      <c r="F11" s="1" t="s">
        <v>72</v>
      </c>
      <c r="G11" s="3" t="s">
        <v>48</v>
      </c>
      <c r="H11" s="20" t="s">
        <v>48</v>
      </c>
      <c r="I11" s="20">
        <v>1000.0</v>
      </c>
      <c r="J11" s="21">
        <v>15.02</v>
      </c>
      <c r="K11" s="22">
        <f t="shared" si="2"/>
        <v>15.02</v>
      </c>
      <c r="L11" s="22"/>
      <c r="V11" s="22"/>
      <c r="W11" s="22"/>
      <c r="X11" s="22"/>
      <c r="Y11" s="22"/>
      <c r="Z11" s="22"/>
      <c r="AA11" s="22"/>
      <c r="AB11" s="22"/>
    </row>
    <row r="12">
      <c r="A12" s="3">
        <v>12.0</v>
      </c>
      <c r="B12" s="1" t="s">
        <v>111</v>
      </c>
      <c r="C12" s="1" t="s">
        <v>21</v>
      </c>
      <c r="D12" s="3">
        <v>14.0</v>
      </c>
      <c r="E12" s="3" t="str">
        <f t="shared" si="1"/>
        <v>Jan Pilch 14</v>
      </c>
      <c r="F12" s="1" t="s">
        <v>64</v>
      </c>
      <c r="G12" s="3" t="s">
        <v>48</v>
      </c>
      <c r="H12" s="21" t="s">
        <v>48</v>
      </c>
      <c r="I12" s="20">
        <v>24.171</v>
      </c>
      <c r="J12" s="21">
        <v>22.563</v>
      </c>
      <c r="K12" s="22">
        <f t="shared" si="2"/>
        <v>22.563</v>
      </c>
      <c r="L12" s="22"/>
      <c r="N12" s="9" t="str">
        <f>E3</f>
        <v>Maciej Oleksy 6</v>
      </c>
      <c r="O12" s="10">
        <v>12.016</v>
      </c>
      <c r="S12" s="8" t="s">
        <v>75</v>
      </c>
      <c r="V12" s="22"/>
      <c r="W12" s="22"/>
      <c r="X12" s="22"/>
      <c r="Y12" s="22"/>
      <c r="Z12" s="22"/>
      <c r="AA12" s="22"/>
      <c r="AB12" s="22"/>
    </row>
    <row r="13">
      <c r="A13" s="3">
        <v>7.0</v>
      </c>
      <c r="B13" s="1" t="s">
        <v>112</v>
      </c>
      <c r="C13" s="1" t="s">
        <v>113</v>
      </c>
      <c r="D13" s="3">
        <v>30.0</v>
      </c>
      <c r="E13" s="3" t="str">
        <f t="shared" si="1"/>
        <v>Aleksander Butra 30</v>
      </c>
      <c r="F13" s="3" t="s">
        <v>107</v>
      </c>
      <c r="G13" s="3" t="s">
        <v>48</v>
      </c>
      <c r="H13" s="20" t="s">
        <v>48</v>
      </c>
      <c r="I13" s="20">
        <v>1000.0</v>
      </c>
      <c r="J13" s="21">
        <v>1000.0</v>
      </c>
      <c r="K13" s="22">
        <f t="shared" si="2"/>
        <v>1000</v>
      </c>
      <c r="L13" s="22"/>
      <c r="N13" s="11"/>
      <c r="P13" s="12" t="str">
        <f>IFS(O12&gt;O14,N14,O14&gt;O12,N12)</f>
        <v>Maciej Oleksy 6</v>
      </c>
      <c r="Q13" s="10">
        <v>11.586</v>
      </c>
      <c r="R13" s="8"/>
      <c r="S13" s="12" t="str">
        <f>IFS(Q5&gt;Q9,P5,Q9&gt;Q5,P9)</f>
        <v>Franek Bilejczyk 22</v>
      </c>
      <c r="T13" s="10">
        <v>9.916</v>
      </c>
      <c r="U13" s="8" t="s">
        <v>78</v>
      </c>
      <c r="V13" s="22"/>
      <c r="W13" s="22"/>
      <c r="X13" s="22"/>
      <c r="Y13" s="22"/>
      <c r="Z13" s="22"/>
      <c r="AA13" s="22"/>
      <c r="AB13" s="22"/>
    </row>
    <row r="14">
      <c r="A14" s="3">
        <v>3.0</v>
      </c>
      <c r="B14" s="1" t="s">
        <v>114</v>
      </c>
      <c r="C14" s="1" t="s">
        <v>115</v>
      </c>
      <c r="D14" s="3">
        <v>31.0</v>
      </c>
      <c r="E14" s="3" t="str">
        <f t="shared" si="1"/>
        <v>Jeremi Fedorowski 31</v>
      </c>
      <c r="F14" s="8" t="s">
        <v>107</v>
      </c>
      <c r="G14" s="8" t="s">
        <v>48</v>
      </c>
      <c r="H14" s="8" t="s">
        <v>48</v>
      </c>
      <c r="I14" s="20">
        <v>2000.0</v>
      </c>
      <c r="J14" s="21">
        <v>2000.0</v>
      </c>
      <c r="K14" s="22">
        <f t="shared" si="2"/>
        <v>2000</v>
      </c>
      <c r="L14" s="22"/>
      <c r="N14" s="9" t="str">
        <f>E8</f>
        <v>Antoni Marcisz 16</v>
      </c>
      <c r="O14" s="10">
        <v>14.969</v>
      </c>
      <c r="U14" s="14" t="str">
        <f>ifs(T15&gt;T13,S13,T13&gt;T15,S15)</f>
        <v>Franek Bilejczyk 22</v>
      </c>
      <c r="V14" s="22"/>
      <c r="W14" s="22"/>
      <c r="X14" s="22"/>
      <c r="Y14" s="22"/>
      <c r="Z14" s="22"/>
      <c r="AA14" s="22"/>
      <c r="AB14" s="22"/>
    </row>
    <row r="15">
      <c r="A15" s="3"/>
      <c r="I15" s="22"/>
      <c r="J15" s="22"/>
      <c r="K15" s="22"/>
      <c r="L15" s="22"/>
      <c r="S15" s="13" t="str">
        <f>IFS(Q13&gt;Q17,P13,Q17&gt;Q13,P17)</f>
        <v>Bartosz Laskowski 18</v>
      </c>
      <c r="T15" s="10">
        <v>14.533</v>
      </c>
      <c r="U15" s="8" t="s">
        <v>83</v>
      </c>
      <c r="V15" s="22"/>
      <c r="W15" s="22"/>
      <c r="X15" s="22"/>
      <c r="Y15" s="22"/>
      <c r="Z15" s="22"/>
      <c r="AA15" s="22"/>
      <c r="AB15" s="22"/>
    </row>
    <row r="16">
      <c r="A16" s="3"/>
      <c r="I16" s="22"/>
      <c r="J16" s="22"/>
      <c r="K16" s="22"/>
      <c r="L16" s="22"/>
      <c r="N16" s="9" t="str">
        <f>E4</f>
        <v>Gabriel Kasiński 8</v>
      </c>
      <c r="O16" s="10">
        <v>17.59</v>
      </c>
      <c r="U16" s="14" t="str">
        <f>ifs(T13&gt;T15,S13,T15&gt;T13,S15)</f>
        <v>Bartosz Laskowski 18</v>
      </c>
      <c r="V16" s="22"/>
      <c r="W16" s="22"/>
      <c r="X16" s="22"/>
      <c r="Y16" s="22"/>
      <c r="Z16" s="22"/>
      <c r="AA16" s="22"/>
      <c r="AB16" s="22"/>
    </row>
    <row r="17">
      <c r="B17" s="1"/>
      <c r="C17" s="1"/>
      <c r="D17" s="1"/>
      <c r="E17" s="1"/>
      <c r="F17" s="1"/>
      <c r="G17" s="1"/>
      <c r="H17" s="27"/>
      <c r="I17" s="21"/>
      <c r="J17" s="21"/>
      <c r="K17" s="22"/>
      <c r="L17" s="22"/>
      <c r="N17" s="11"/>
      <c r="P17" s="12" t="str">
        <f>IFS(O16&gt;O18,N18,O18&gt;O16,N16)</f>
        <v>Bartosz Laskowski 18</v>
      </c>
      <c r="Q17" s="10">
        <v>12.375</v>
      </c>
      <c r="R17" s="8"/>
      <c r="V17" s="22"/>
      <c r="W17" s="22"/>
      <c r="X17" s="22"/>
      <c r="Y17" s="22"/>
      <c r="Z17" s="22"/>
      <c r="AA17" s="22"/>
      <c r="AB17" s="22"/>
    </row>
    <row r="18">
      <c r="A18" s="28"/>
      <c r="B18" s="1"/>
      <c r="C18" s="1"/>
      <c r="D18" s="3"/>
      <c r="E18" s="3"/>
      <c r="F18" s="1"/>
      <c r="G18" s="1"/>
      <c r="H18" s="27"/>
      <c r="I18" s="22"/>
      <c r="J18" s="22"/>
      <c r="K18" s="22"/>
      <c r="L18" s="22"/>
      <c r="N18" s="9" t="str">
        <f>E7</f>
        <v>Bartosz Laskowski 18</v>
      </c>
      <c r="O18" s="10">
        <v>13.285</v>
      </c>
      <c r="V18" s="22"/>
      <c r="W18" s="22"/>
      <c r="X18" s="22"/>
      <c r="Y18" s="22"/>
      <c r="Z18" s="22"/>
      <c r="AA18" s="22"/>
      <c r="AB18" s="22"/>
    </row>
    <row r="19">
      <c r="A19" s="28"/>
      <c r="B19" s="1"/>
      <c r="C19" s="1"/>
      <c r="D19" s="3"/>
      <c r="E19" s="3"/>
      <c r="F19" s="1"/>
      <c r="G19" s="1"/>
      <c r="H19" s="27"/>
      <c r="I19" s="22"/>
      <c r="J19" s="22"/>
      <c r="K19" s="22"/>
      <c r="L19" s="22"/>
      <c r="M19" s="22"/>
      <c r="N19" s="22"/>
      <c r="O19" s="22"/>
      <c r="P19" s="22"/>
      <c r="Q19" s="22"/>
      <c r="R19" s="22"/>
      <c r="V19" s="22"/>
      <c r="W19" s="22"/>
      <c r="X19" s="22"/>
      <c r="Y19" s="22"/>
      <c r="Z19" s="22"/>
      <c r="AA19" s="22"/>
      <c r="AB19" s="22"/>
    </row>
    <row r="20">
      <c r="A20" s="28"/>
      <c r="B20" s="1"/>
      <c r="C20" s="1"/>
      <c r="D20" s="3"/>
      <c r="E20" s="3"/>
      <c r="F20" s="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V20" s="22"/>
      <c r="W20" s="22"/>
      <c r="X20" s="22"/>
      <c r="Y20" s="22"/>
      <c r="Z20" s="22"/>
      <c r="AA20" s="22"/>
      <c r="AB20" s="22"/>
    </row>
    <row r="21">
      <c r="A21" s="28"/>
      <c r="B21" s="1"/>
      <c r="C21" s="1"/>
      <c r="D21" s="3"/>
      <c r="E21" s="3"/>
      <c r="F21" s="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V21" s="22"/>
      <c r="W21" s="22"/>
      <c r="X21" s="22"/>
      <c r="Y21" s="22"/>
      <c r="Z21" s="22"/>
      <c r="AA21" s="22"/>
      <c r="AB21" s="22"/>
    </row>
    <row r="22">
      <c r="A22" s="28"/>
      <c r="B22" s="1"/>
      <c r="C22" s="1"/>
      <c r="D22" s="3"/>
      <c r="E22" s="3"/>
      <c r="F22" s="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>
      <c r="A23" s="28"/>
      <c r="B23" s="1"/>
      <c r="C23" s="1"/>
      <c r="D23" s="3"/>
      <c r="E23" s="3"/>
      <c r="F23" s="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>
      <c r="A24" s="28"/>
      <c r="B24" s="1"/>
      <c r="C24" s="1"/>
      <c r="D24" s="3"/>
      <c r="E24" s="3"/>
      <c r="F24" s="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>
      <c r="A25" s="28"/>
      <c r="B25" s="1"/>
      <c r="C25" s="1"/>
      <c r="D25" s="3"/>
      <c r="E25" s="3"/>
      <c r="F25" s="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>
      <c r="A26" s="28"/>
      <c r="B26" s="1"/>
      <c r="C26" s="1"/>
      <c r="D26" s="3"/>
      <c r="E26" s="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>
      <c r="A27" s="28"/>
      <c r="B27" s="1"/>
      <c r="C27" s="1"/>
      <c r="D27" s="3"/>
      <c r="E27" s="3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>
      <c r="A28" s="28"/>
      <c r="B28" s="1"/>
      <c r="C28" s="1"/>
      <c r="D28" s="3"/>
      <c r="E28" s="3"/>
      <c r="F28" s="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>
      <c r="A29" s="28"/>
      <c r="B29" s="1"/>
      <c r="C29" s="1"/>
      <c r="D29" s="3"/>
      <c r="E29" s="3"/>
      <c r="F29" s="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>
      <c r="A30" s="28"/>
      <c r="B30" s="1"/>
      <c r="C30" s="1"/>
      <c r="D30" s="3"/>
      <c r="E30" s="3"/>
      <c r="F30" s="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</row>
  </sheetData>
  <printOptions gridLines="1"/>
  <pageMargins bottom="0.75" footer="0.0" header="0.0" left="0.7" right="0.7" top="0.75"/>
  <pageSetup fitToHeight="0" paperSize="9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.63"/>
    <col customWidth="1" min="2" max="3" width="11.13"/>
    <col customWidth="1" min="4" max="4" width="5.0"/>
    <col customWidth="1" hidden="1" min="5" max="5" width="22.88"/>
    <col customWidth="1" min="6" max="6" width="44.75"/>
    <col customWidth="1" min="7" max="7" width="8.0"/>
    <col customWidth="1" min="8" max="8" width="8.38"/>
    <col customWidth="1" min="9" max="9" width="10.5"/>
    <col customWidth="1" min="10" max="10" width="7.0"/>
    <col customWidth="1" min="11" max="11" width="4.5"/>
    <col customWidth="1" min="12" max="12" width="20.13"/>
    <col customWidth="1" min="13" max="13" width="10.75"/>
    <col customWidth="1" min="14" max="14" width="21.75"/>
    <col customWidth="1" min="15" max="15" width="10.38"/>
    <col customWidth="1" min="16" max="16" width="5.5"/>
    <col customWidth="1" min="17" max="17" width="22.63"/>
    <col customWidth="1" min="18" max="18" width="9.13"/>
    <col customWidth="1" min="19" max="19" width="24.75"/>
    <col customWidth="1" min="20" max="20" width="23.13"/>
  </cols>
  <sheetData>
    <row r="1">
      <c r="A1" s="1" t="s">
        <v>1</v>
      </c>
      <c r="B1" s="1" t="s">
        <v>2</v>
      </c>
      <c r="C1" s="1" t="s">
        <v>3</v>
      </c>
      <c r="D1" s="3" t="s">
        <v>4</v>
      </c>
      <c r="E1" s="3"/>
      <c r="F1" s="3" t="s">
        <v>5</v>
      </c>
      <c r="G1" s="4" t="s">
        <v>42</v>
      </c>
      <c r="H1" s="3" t="s">
        <v>43</v>
      </c>
      <c r="I1" s="3" t="s">
        <v>44</v>
      </c>
      <c r="J1" s="3"/>
      <c r="K1" s="6"/>
      <c r="L1" s="29" t="s">
        <v>116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">
        <v>1.0</v>
      </c>
      <c r="B2" s="1" t="s">
        <v>117</v>
      </c>
      <c r="C2" s="1" t="s">
        <v>82</v>
      </c>
      <c r="D2" s="3">
        <v>81.0</v>
      </c>
      <c r="E2" s="3" t="str">
        <f t="shared" ref="E2:E13" si="1">C2&amp;" "&amp;B2&amp;" "&amp;D2</f>
        <v>Martyna Stokowiec 81</v>
      </c>
      <c r="F2" s="1" t="s">
        <v>118</v>
      </c>
      <c r="G2" s="3">
        <v>12.305</v>
      </c>
      <c r="H2" s="3">
        <v>9.802</v>
      </c>
      <c r="I2" s="30">
        <f t="shared" ref="I2:I13" si="2">MIN(G2:H2)</f>
        <v>9.802</v>
      </c>
      <c r="J2" s="6"/>
      <c r="K2" s="6"/>
      <c r="L2" s="3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">
        <v>2.0</v>
      </c>
      <c r="B3" s="1" t="s">
        <v>119</v>
      </c>
      <c r="C3" s="1" t="s">
        <v>120</v>
      </c>
      <c r="D3" s="3">
        <v>50.0</v>
      </c>
      <c r="E3" s="3" t="str">
        <f t="shared" si="1"/>
        <v>Małgorzata Kurek 50</v>
      </c>
      <c r="F3" s="6"/>
      <c r="G3" s="3">
        <v>10.062</v>
      </c>
      <c r="H3" s="3">
        <v>10.223</v>
      </c>
      <c r="I3" s="30">
        <f t="shared" si="2"/>
        <v>10.062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3">
        <v>3.0</v>
      </c>
      <c r="B4" s="1" t="s">
        <v>121</v>
      </c>
      <c r="C4" s="1" t="s">
        <v>80</v>
      </c>
      <c r="D4" s="3">
        <v>34.0</v>
      </c>
      <c r="E4" s="3" t="str">
        <f t="shared" si="1"/>
        <v>Amelia Mazur 34</v>
      </c>
      <c r="F4" s="1" t="s">
        <v>22</v>
      </c>
      <c r="G4" s="3">
        <v>11.988</v>
      </c>
      <c r="H4" s="3">
        <v>11.176</v>
      </c>
      <c r="I4" s="30">
        <f t="shared" si="2"/>
        <v>11.176</v>
      </c>
      <c r="J4" s="6"/>
      <c r="L4" s="32" t="str">
        <f>E2</f>
        <v>Martyna Stokowiec 81</v>
      </c>
      <c r="M4" s="33">
        <v>10.096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3">
        <v>4.0</v>
      </c>
      <c r="B5" s="1" t="s">
        <v>122</v>
      </c>
      <c r="C5" s="1" t="s">
        <v>123</v>
      </c>
      <c r="D5" s="3">
        <v>33.0</v>
      </c>
      <c r="E5" s="3" t="str">
        <f t="shared" si="1"/>
        <v>Karolina Ptak 33</v>
      </c>
      <c r="F5" s="1" t="s">
        <v>22</v>
      </c>
      <c r="G5" s="3">
        <v>11.597</v>
      </c>
      <c r="H5" s="3">
        <v>12.422</v>
      </c>
      <c r="I5" s="30">
        <f t="shared" si="2"/>
        <v>11.597</v>
      </c>
      <c r="J5" s="6"/>
      <c r="L5" s="34"/>
      <c r="M5" s="6"/>
      <c r="N5" s="35" t="str">
        <f>IFS(M4&gt;M6,L6,M6&gt;M4,L4)</f>
        <v>Martyna Stokowiec 81</v>
      </c>
      <c r="O5" s="36">
        <v>9.706</v>
      </c>
      <c r="P5" s="3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3">
        <v>5.0</v>
      </c>
      <c r="B6" s="1" t="s">
        <v>124</v>
      </c>
      <c r="C6" s="1" t="s">
        <v>125</v>
      </c>
      <c r="D6" s="3">
        <v>35.0</v>
      </c>
      <c r="E6" s="3" t="str">
        <f t="shared" si="1"/>
        <v>Natalia Włodarczyk 35</v>
      </c>
      <c r="F6" s="1" t="s">
        <v>22</v>
      </c>
      <c r="G6" s="3">
        <v>11.62</v>
      </c>
      <c r="H6" s="3">
        <v>12.911</v>
      </c>
      <c r="I6" s="30">
        <f t="shared" si="2"/>
        <v>11.62</v>
      </c>
      <c r="J6" s="6"/>
      <c r="L6" s="32" t="str">
        <f>E9</f>
        <v>Róża Ciborowska 48</v>
      </c>
      <c r="M6" s="33">
        <v>14.217</v>
      </c>
      <c r="N6" s="6"/>
      <c r="O6" s="6"/>
      <c r="P6" s="6"/>
      <c r="Q6" s="3" t="s">
        <v>58</v>
      </c>
      <c r="R6" s="6"/>
      <c r="S6" s="6"/>
      <c r="T6" s="6"/>
      <c r="U6" s="6"/>
      <c r="V6" s="6"/>
      <c r="W6" s="6"/>
      <c r="X6" s="6"/>
      <c r="Y6" s="6"/>
      <c r="Z6" s="6"/>
    </row>
    <row r="7">
      <c r="A7" s="3">
        <v>6.0</v>
      </c>
      <c r="B7" s="1" t="s">
        <v>126</v>
      </c>
      <c r="C7" s="1" t="s">
        <v>71</v>
      </c>
      <c r="D7" s="3">
        <v>89.0</v>
      </c>
      <c r="E7" s="3" t="str">
        <f t="shared" si="1"/>
        <v>Pola Pietkiewicz 89</v>
      </c>
      <c r="F7" s="1" t="s">
        <v>72</v>
      </c>
      <c r="G7" s="3">
        <v>12.06</v>
      </c>
      <c r="H7" s="3">
        <v>13.891</v>
      </c>
      <c r="I7" s="30">
        <f t="shared" si="2"/>
        <v>12.06</v>
      </c>
      <c r="J7" s="6"/>
      <c r="L7" s="6"/>
      <c r="M7" s="6"/>
      <c r="N7" s="6"/>
      <c r="O7" s="6"/>
      <c r="P7" s="6"/>
      <c r="Q7" s="37" t="str">
        <f>Ifs(O5&gt;O9,N9,O9&gt;O5,N5)</f>
        <v>Martyna Stokowiec 81</v>
      </c>
      <c r="R7" s="33">
        <v>9.79</v>
      </c>
      <c r="S7" s="3" t="s">
        <v>61</v>
      </c>
      <c r="T7" s="6"/>
      <c r="U7" s="6"/>
      <c r="V7" s="6"/>
      <c r="W7" s="6"/>
      <c r="X7" s="6"/>
      <c r="Y7" s="6"/>
      <c r="Z7" s="6"/>
    </row>
    <row r="8">
      <c r="A8" s="3">
        <v>7.0</v>
      </c>
      <c r="B8" s="1" t="s">
        <v>127</v>
      </c>
      <c r="C8" s="1" t="s">
        <v>125</v>
      </c>
      <c r="D8" s="3">
        <v>52.0</v>
      </c>
      <c r="E8" s="3" t="str">
        <f t="shared" si="1"/>
        <v>Natalia Bibro 52</v>
      </c>
      <c r="F8" s="1" t="s">
        <v>60</v>
      </c>
      <c r="G8" s="3">
        <v>12.645</v>
      </c>
      <c r="H8" s="3">
        <v>12.351</v>
      </c>
      <c r="I8" s="30">
        <f t="shared" si="2"/>
        <v>12.351</v>
      </c>
      <c r="J8" s="6"/>
      <c r="L8" s="32" t="str">
        <f>E5</f>
        <v>Karolina Ptak 33</v>
      </c>
      <c r="M8" s="33">
        <v>11.812</v>
      </c>
      <c r="N8" s="3" t="s">
        <v>38</v>
      </c>
      <c r="O8" s="6"/>
      <c r="P8" s="6"/>
      <c r="Q8" s="6"/>
      <c r="R8" s="6"/>
      <c r="S8" s="38" t="str">
        <f>ifs(R9&gt;R7,Q7,R7&gt;R9,Q9)</f>
        <v>Martyna Stokowiec 81</v>
      </c>
      <c r="T8" s="6"/>
      <c r="U8" s="6"/>
      <c r="V8" s="6"/>
      <c r="W8" s="6"/>
      <c r="X8" s="6"/>
      <c r="Y8" s="6"/>
      <c r="Z8" s="6"/>
    </row>
    <row r="9">
      <c r="A9" s="15">
        <v>8.0</v>
      </c>
      <c r="B9" s="16" t="s">
        <v>128</v>
      </c>
      <c r="C9" s="16" t="s">
        <v>129</v>
      </c>
      <c r="D9" s="15">
        <v>48.0</v>
      </c>
      <c r="E9" s="15" t="str">
        <f t="shared" si="1"/>
        <v>Róża Ciborowska 48</v>
      </c>
      <c r="F9" s="16" t="s">
        <v>72</v>
      </c>
      <c r="G9" s="15">
        <v>17.743</v>
      </c>
      <c r="H9" s="15">
        <v>14.235</v>
      </c>
      <c r="I9" s="39">
        <f t="shared" si="2"/>
        <v>14.235</v>
      </c>
      <c r="J9" s="3" t="s">
        <v>67</v>
      </c>
      <c r="L9" s="34"/>
      <c r="M9" s="6"/>
      <c r="N9" s="35" t="str">
        <f>IFS(M8&gt;M10,L10,M10&gt;M8,L8)</f>
        <v>Karolina Ptak 33</v>
      </c>
      <c r="O9" s="33">
        <v>16.47</v>
      </c>
      <c r="P9" s="3"/>
      <c r="Q9" s="37" t="str">
        <f>ifs(O13&gt;O17,N17,O17&gt;O13,N13)</f>
        <v>Amelia Mazur 34</v>
      </c>
      <c r="R9" s="33">
        <v>16.105</v>
      </c>
      <c r="S9" s="3" t="s">
        <v>68</v>
      </c>
      <c r="T9" s="6"/>
      <c r="U9" s="6"/>
      <c r="V9" s="6"/>
      <c r="W9" s="6"/>
      <c r="X9" s="6"/>
      <c r="Y9" s="6"/>
      <c r="Z9" s="6"/>
    </row>
    <row r="10">
      <c r="A10" s="3">
        <v>9.0</v>
      </c>
      <c r="B10" s="1" t="s">
        <v>130</v>
      </c>
      <c r="C10" s="1" t="s">
        <v>131</v>
      </c>
      <c r="D10" s="3">
        <v>53.0</v>
      </c>
      <c r="E10" s="3" t="str">
        <f t="shared" si="1"/>
        <v>Anna Wiejaczka 53</v>
      </c>
      <c r="F10" s="1" t="s">
        <v>60</v>
      </c>
      <c r="G10" s="3">
        <v>15.917</v>
      </c>
      <c r="H10" s="3">
        <v>15.798</v>
      </c>
      <c r="I10" s="30">
        <f t="shared" si="2"/>
        <v>15.798</v>
      </c>
      <c r="J10" s="18"/>
      <c r="L10" s="32" t="str">
        <f>E6</f>
        <v>Natalia Włodarczyk 35</v>
      </c>
      <c r="M10" s="33">
        <v>12.146</v>
      </c>
      <c r="N10" s="6"/>
      <c r="O10" s="6"/>
      <c r="P10" s="6"/>
      <c r="Q10" s="6"/>
      <c r="R10" s="6"/>
      <c r="S10" s="38" t="str">
        <f>ifs(R7&gt;R9,Q7,R9&gt;R7,Q9)</f>
        <v>Amelia Mazur 34</v>
      </c>
      <c r="T10" s="6"/>
      <c r="U10" s="6"/>
      <c r="V10" s="6"/>
      <c r="W10" s="6"/>
      <c r="X10" s="6"/>
      <c r="Y10" s="6"/>
      <c r="Z10" s="6"/>
    </row>
    <row r="11">
      <c r="A11" s="3">
        <v>10.0</v>
      </c>
      <c r="B11" s="1" t="s">
        <v>132</v>
      </c>
      <c r="C11" s="1" t="s">
        <v>133</v>
      </c>
      <c r="D11" s="3">
        <v>51.0</v>
      </c>
      <c r="E11" s="3" t="str">
        <f t="shared" si="1"/>
        <v>Magdalena Kloch 51</v>
      </c>
      <c r="F11" s="1" t="s">
        <v>60</v>
      </c>
      <c r="G11" s="3">
        <v>23.575</v>
      </c>
      <c r="H11" s="3">
        <v>17.971</v>
      </c>
      <c r="I11" s="30">
        <f t="shared" si="2"/>
        <v>17.971</v>
      </c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">
        <v>11.0</v>
      </c>
      <c r="B12" s="1" t="s">
        <v>134</v>
      </c>
      <c r="C12" s="1" t="s">
        <v>54</v>
      </c>
      <c r="D12" s="3">
        <v>84.0</v>
      </c>
      <c r="E12" s="3" t="str">
        <f t="shared" si="1"/>
        <v>Zuzanna Malczyk 84</v>
      </c>
      <c r="F12" s="1" t="s">
        <v>22</v>
      </c>
      <c r="G12" s="3">
        <v>2000.0</v>
      </c>
      <c r="H12" s="3">
        <v>19.475</v>
      </c>
      <c r="I12" s="30">
        <f t="shared" si="2"/>
        <v>19.475</v>
      </c>
      <c r="J12" s="6"/>
      <c r="L12" s="32" t="str">
        <f>E3</f>
        <v>Małgorzata Kurek 50</v>
      </c>
      <c r="M12" s="33">
        <v>10.383</v>
      </c>
      <c r="N12" s="6"/>
      <c r="O12" s="6"/>
      <c r="P12" s="6"/>
      <c r="Q12" s="3" t="s">
        <v>75</v>
      </c>
      <c r="R12" s="6"/>
      <c r="S12" s="6"/>
      <c r="T12" s="6"/>
      <c r="U12" s="6"/>
      <c r="V12" s="6"/>
      <c r="W12" s="6"/>
      <c r="X12" s="6"/>
      <c r="Y12" s="6"/>
      <c r="Z12" s="6"/>
    </row>
    <row r="13">
      <c r="A13" s="3">
        <v>12.0</v>
      </c>
      <c r="B13" s="1" t="s">
        <v>135</v>
      </c>
      <c r="C13" s="1" t="s">
        <v>136</v>
      </c>
      <c r="D13" s="3">
        <v>47.0</v>
      </c>
      <c r="E13" s="3" t="str">
        <f t="shared" si="1"/>
        <v>Gabriela Sochal 47</v>
      </c>
      <c r="F13" s="1" t="s">
        <v>28</v>
      </c>
      <c r="G13" s="3">
        <v>1000.0</v>
      </c>
      <c r="H13" s="3">
        <v>1000.0</v>
      </c>
      <c r="I13" s="30">
        <f t="shared" si="2"/>
        <v>1000</v>
      </c>
      <c r="J13" s="6"/>
      <c r="L13" s="34"/>
      <c r="M13" s="6"/>
      <c r="N13" s="35" t="str">
        <f>IFS(M12&gt;M14,L14,M14&gt;M12,L12)</f>
        <v>Małgorzata Kurek 50</v>
      </c>
      <c r="O13" s="33">
        <v>12.16</v>
      </c>
      <c r="P13" s="3"/>
      <c r="Q13" s="35" t="str">
        <f>IFS(O5&gt;O9,N5,O9&gt;O5,N9)</f>
        <v>Karolina Ptak 33</v>
      </c>
      <c r="R13" s="33">
        <v>14.403</v>
      </c>
      <c r="S13" s="3" t="s">
        <v>78</v>
      </c>
      <c r="T13" s="6"/>
      <c r="U13" s="6"/>
      <c r="V13" s="6"/>
      <c r="W13" s="6"/>
      <c r="X13" s="6"/>
      <c r="Y13" s="6"/>
      <c r="Z13" s="6"/>
    </row>
    <row r="14">
      <c r="A14" s="3"/>
      <c r="B14" s="1"/>
      <c r="C14" s="1"/>
      <c r="D14" s="3"/>
      <c r="E14" s="3"/>
      <c r="F14" s="1"/>
      <c r="G14" s="3"/>
      <c r="H14" s="3"/>
      <c r="I14" s="6"/>
      <c r="J14" s="6"/>
      <c r="L14" s="32" t="str">
        <f>E8</f>
        <v>Natalia Bibro 52</v>
      </c>
      <c r="M14" s="33">
        <v>13.87</v>
      </c>
      <c r="N14" s="6"/>
      <c r="O14" s="6"/>
      <c r="P14" s="6"/>
      <c r="Q14" s="6"/>
      <c r="R14" s="6"/>
      <c r="S14" s="38" t="str">
        <f>ifs(R15&gt;R13,Q13,R13&gt;R15,Q15)</f>
        <v>Małgorzata Kurek 50</v>
      </c>
      <c r="T14" s="6"/>
      <c r="U14" s="6"/>
      <c r="V14" s="6"/>
      <c r="W14" s="6"/>
      <c r="X14" s="6"/>
      <c r="Y14" s="6"/>
      <c r="Z14" s="6"/>
    </row>
    <row r="15">
      <c r="A15" s="3"/>
      <c r="B15" s="1"/>
      <c r="C15" s="1"/>
      <c r="D15" s="3"/>
      <c r="E15" s="3"/>
      <c r="F15" s="1"/>
      <c r="G15" s="3"/>
      <c r="H15" s="3"/>
      <c r="I15" s="6"/>
      <c r="J15" s="6"/>
      <c r="L15" s="6"/>
      <c r="M15" s="6"/>
      <c r="N15" s="6"/>
      <c r="O15" s="6"/>
      <c r="P15" s="6"/>
      <c r="Q15" s="37" t="str">
        <f>IFS(O13&gt;O17,N13,O17&gt;O13,N17)</f>
        <v>Małgorzata Kurek 50</v>
      </c>
      <c r="R15" s="33">
        <v>10.407</v>
      </c>
      <c r="S15" s="3" t="s">
        <v>83</v>
      </c>
      <c r="T15" s="6"/>
      <c r="U15" s="6"/>
      <c r="V15" s="6"/>
      <c r="W15" s="6"/>
      <c r="X15" s="6"/>
      <c r="Y15" s="6"/>
      <c r="Z15" s="6"/>
    </row>
    <row r="16">
      <c r="A16" s="3"/>
      <c r="B16" s="1"/>
      <c r="C16" s="1"/>
      <c r="D16" s="3"/>
      <c r="E16" s="3"/>
      <c r="F16" s="6"/>
      <c r="G16" s="3"/>
      <c r="H16" s="3"/>
      <c r="I16" s="6"/>
      <c r="J16" s="6"/>
      <c r="L16" s="32" t="str">
        <f>E4</f>
        <v>Amelia Mazur 34</v>
      </c>
      <c r="M16" s="33">
        <v>11.312</v>
      </c>
      <c r="N16" s="6"/>
      <c r="O16" s="6"/>
      <c r="P16" s="6"/>
      <c r="Q16" s="6"/>
      <c r="R16" s="6"/>
      <c r="S16" s="38" t="str">
        <f>ifs(R13&gt;R15,Q13,R15&gt;R13,Q15)</f>
        <v>Karolina Ptak 33</v>
      </c>
      <c r="T16" s="6"/>
      <c r="U16" s="6"/>
      <c r="V16" s="6"/>
      <c r="W16" s="6"/>
      <c r="X16" s="6"/>
      <c r="Y16" s="6"/>
      <c r="Z16" s="6"/>
    </row>
    <row r="17">
      <c r="A17" s="3"/>
      <c r="B17" s="1"/>
      <c r="C17" s="1"/>
      <c r="D17" s="3"/>
      <c r="E17" s="3"/>
      <c r="F17" s="1"/>
      <c r="G17" s="3"/>
      <c r="H17" s="3"/>
      <c r="I17" s="6"/>
      <c r="J17" s="6"/>
      <c r="L17" s="34"/>
      <c r="M17" s="6"/>
      <c r="N17" s="35" t="str">
        <f>IFS(M16&gt;M18,L18,M18&gt;M16,L16)</f>
        <v>Amelia Mazur 34</v>
      </c>
      <c r="O17" s="33">
        <v>11.206</v>
      </c>
      <c r="P17" s="3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3"/>
      <c r="B18" s="1"/>
      <c r="C18" s="1"/>
      <c r="D18" s="3"/>
      <c r="E18" s="3"/>
      <c r="F18" s="1"/>
      <c r="G18" s="3"/>
      <c r="H18" s="3"/>
      <c r="I18" s="6"/>
      <c r="J18" s="6"/>
      <c r="L18" s="32" t="str">
        <f>E7</f>
        <v>Pola Pietkiewicz 89</v>
      </c>
      <c r="M18" s="33">
        <v>11.556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3"/>
      <c r="B19" s="1"/>
      <c r="C19" s="1"/>
      <c r="D19" s="3"/>
      <c r="E19" s="3"/>
      <c r="F19" s="1"/>
      <c r="G19" s="3"/>
      <c r="H19" s="3"/>
      <c r="I19" s="6"/>
      <c r="J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3"/>
      <c r="B20" s="1"/>
      <c r="C20" s="1"/>
      <c r="D20" s="1"/>
      <c r="E20" s="1"/>
      <c r="F20" s="1"/>
      <c r="G20" s="6"/>
      <c r="H20" s="6"/>
      <c r="I20" s="6"/>
      <c r="J20" s="6"/>
      <c r="L20" s="6"/>
      <c r="M20" s="6"/>
      <c r="N20" s="6"/>
      <c r="O20" s="6"/>
      <c r="P20" s="6"/>
      <c r="Q20" s="6"/>
      <c r="R20" s="1"/>
      <c r="S20" s="6"/>
      <c r="T20" s="6"/>
      <c r="U20" s="6"/>
      <c r="V20" s="6"/>
      <c r="W20" s="6"/>
      <c r="X20" s="6"/>
      <c r="Y20" s="6"/>
      <c r="Z20" s="6"/>
    </row>
    <row r="21">
      <c r="A21" s="3"/>
      <c r="B21" s="3"/>
      <c r="C21" s="1"/>
      <c r="D21" s="1"/>
      <c r="E21" s="1"/>
      <c r="F21" s="1"/>
      <c r="G21" s="6"/>
      <c r="H21" s="6"/>
      <c r="I21" s="6"/>
      <c r="J21" s="6"/>
      <c r="L21" s="6"/>
      <c r="M21" s="6"/>
      <c r="N21" s="6"/>
      <c r="O21" s="6"/>
      <c r="P21" s="6"/>
      <c r="Q21" s="6"/>
      <c r="R21" s="6"/>
      <c r="S21" s="1"/>
      <c r="T21" s="6"/>
      <c r="U21" s="6"/>
      <c r="V21" s="6"/>
      <c r="W21" s="6"/>
      <c r="X21" s="6"/>
      <c r="Y21" s="6"/>
      <c r="Z21" s="6"/>
    </row>
    <row r="22">
      <c r="A22" s="3"/>
      <c r="G22" s="6"/>
      <c r="H22" s="6"/>
      <c r="I22" s="6"/>
      <c r="J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3"/>
      <c r="B23" s="1"/>
      <c r="C23" s="1"/>
      <c r="D23" s="3"/>
      <c r="E23" s="3"/>
      <c r="F23" s="1"/>
      <c r="G23" s="6"/>
      <c r="H23" s="6"/>
      <c r="I23" s="6"/>
      <c r="J23" s="6"/>
      <c r="L23" s="6"/>
      <c r="M23" s="6"/>
      <c r="N23" s="6"/>
      <c r="O23" s="6"/>
      <c r="P23" s="1"/>
      <c r="Q23" s="6"/>
      <c r="R23" s="6"/>
      <c r="S23" s="1"/>
      <c r="T23" s="6"/>
      <c r="U23" s="6"/>
      <c r="V23" s="6"/>
      <c r="W23" s="6"/>
      <c r="X23" s="6"/>
      <c r="Y23" s="6"/>
      <c r="Z23" s="6"/>
    </row>
    <row r="24">
      <c r="A24" s="3"/>
      <c r="B24" s="1"/>
      <c r="C24" s="1"/>
      <c r="D24" s="3"/>
      <c r="E24" s="3"/>
      <c r="F24" s="1"/>
      <c r="G24" s="6"/>
      <c r="H24" s="6"/>
      <c r="I24" s="6"/>
      <c r="J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"/>
      <c r="B25" s="1"/>
      <c r="C25" s="1"/>
      <c r="D25" s="3"/>
      <c r="E25" s="3"/>
      <c r="F25" s="1"/>
      <c r="G25" s="6"/>
      <c r="H25" s="6"/>
      <c r="I25" s="6"/>
      <c r="J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3"/>
      <c r="B26" s="1"/>
      <c r="C26" s="1"/>
      <c r="D26" s="3"/>
      <c r="E26" s="3"/>
      <c r="F26" s="3"/>
      <c r="G26" s="6"/>
      <c r="H26" s="6"/>
      <c r="I26" s="6"/>
      <c r="J26" s="6"/>
      <c r="U26" s="6"/>
      <c r="V26" s="6"/>
      <c r="W26" s="6"/>
      <c r="X26" s="6"/>
      <c r="Y26" s="6"/>
      <c r="Z26" s="6"/>
    </row>
    <row r="27">
      <c r="A27" s="3"/>
      <c r="B27" s="1"/>
      <c r="C27" s="1"/>
      <c r="D27" s="3"/>
      <c r="E27" s="3"/>
      <c r="F27" s="1"/>
      <c r="G27" s="6"/>
      <c r="H27" s="6"/>
      <c r="I27" s="6"/>
      <c r="J27" s="6"/>
      <c r="U27" s="6"/>
      <c r="V27" s="6"/>
      <c r="W27" s="6"/>
      <c r="X27" s="6"/>
      <c r="Y27" s="6"/>
      <c r="Z27" s="6"/>
    </row>
    <row r="28">
      <c r="A28" s="3"/>
      <c r="B28" s="1"/>
      <c r="C28" s="1"/>
      <c r="D28" s="3"/>
      <c r="E28" s="3"/>
      <c r="F28" s="1"/>
      <c r="G28" s="6"/>
      <c r="H28" s="6"/>
      <c r="I28" s="6"/>
      <c r="J28" s="6"/>
      <c r="U28" s="6"/>
      <c r="V28" s="6"/>
      <c r="W28" s="6"/>
      <c r="X28" s="6"/>
      <c r="Y28" s="6"/>
      <c r="Z28" s="6"/>
    </row>
    <row r="29">
      <c r="A29" s="3"/>
      <c r="B29" s="1"/>
      <c r="C29" s="1"/>
      <c r="D29" s="3"/>
      <c r="E29" s="3"/>
      <c r="F29" s="1"/>
      <c r="G29" s="6"/>
      <c r="H29" s="6"/>
      <c r="I29" s="6"/>
      <c r="J29" s="6"/>
      <c r="U29" s="6"/>
      <c r="V29" s="6"/>
      <c r="W29" s="6"/>
      <c r="X29" s="6"/>
      <c r="Y29" s="6"/>
      <c r="Z29" s="6"/>
    </row>
    <row r="30">
      <c r="A30" s="3"/>
      <c r="B30" s="1"/>
      <c r="C30" s="1"/>
      <c r="D30" s="3"/>
      <c r="E30" s="3"/>
      <c r="F30" s="1"/>
      <c r="G30" s="6"/>
      <c r="H30" s="6"/>
      <c r="I30" s="6"/>
      <c r="J30" s="6"/>
      <c r="U30" s="6"/>
      <c r="V30" s="6"/>
      <c r="W30" s="6"/>
      <c r="X30" s="6"/>
      <c r="Y30" s="6"/>
      <c r="Z30" s="6"/>
    </row>
    <row r="31">
      <c r="A31" s="3"/>
      <c r="B31" s="1"/>
      <c r="C31" s="1"/>
      <c r="D31" s="3"/>
      <c r="E31" s="3"/>
      <c r="F31" s="1"/>
      <c r="G31" s="6"/>
      <c r="H31" s="6"/>
      <c r="I31" s="6"/>
      <c r="J31" s="6"/>
      <c r="P31" s="19"/>
      <c r="U31" s="6"/>
      <c r="V31" s="6"/>
      <c r="W31" s="6"/>
      <c r="X31" s="6"/>
      <c r="Y31" s="6"/>
      <c r="Z31" s="6"/>
    </row>
    <row r="32">
      <c r="A32" s="3"/>
      <c r="B32" s="1"/>
      <c r="C32" s="1"/>
      <c r="D32" s="3"/>
      <c r="E32" s="3"/>
      <c r="F32" s="1"/>
      <c r="G32" s="6"/>
      <c r="H32" s="6"/>
      <c r="I32" s="6"/>
      <c r="J32" s="6"/>
      <c r="U32" s="6"/>
      <c r="V32" s="6"/>
      <c r="W32" s="6"/>
      <c r="X32" s="6"/>
      <c r="Y32" s="6"/>
      <c r="Z32" s="6"/>
    </row>
    <row r="33">
      <c r="A33" s="3"/>
      <c r="B33" s="1"/>
      <c r="C33" s="1"/>
      <c r="D33" s="3"/>
      <c r="E33" s="3"/>
      <c r="F33" s="1"/>
      <c r="G33" s="6"/>
      <c r="H33" s="6"/>
      <c r="I33" s="6"/>
      <c r="J33" s="6"/>
      <c r="U33" s="6"/>
      <c r="V33" s="6"/>
      <c r="W33" s="6"/>
      <c r="X33" s="6"/>
      <c r="Y33" s="6"/>
      <c r="Z33" s="6"/>
    </row>
    <row r="34">
      <c r="A34" s="3"/>
      <c r="B34" s="1"/>
      <c r="C34" s="1"/>
      <c r="D34" s="3"/>
      <c r="E34" s="3"/>
      <c r="F34" s="1"/>
      <c r="G34" s="6"/>
      <c r="H34" s="6"/>
      <c r="I34" s="6"/>
      <c r="J34" s="6"/>
      <c r="U34" s="6"/>
      <c r="V34" s="6"/>
      <c r="W34" s="6"/>
      <c r="X34" s="6"/>
      <c r="Y34" s="6"/>
      <c r="Z34" s="6"/>
    </row>
    <row r="35">
      <c r="A35" s="3"/>
      <c r="B35" s="1"/>
      <c r="C35" s="1"/>
      <c r="D35" s="3"/>
      <c r="E35" s="3"/>
      <c r="F35" s="1"/>
      <c r="G35" s="6"/>
      <c r="H35" s="6"/>
      <c r="I35" s="6"/>
      <c r="J35" s="6"/>
      <c r="U35" s="6"/>
      <c r="V35" s="6"/>
      <c r="W35" s="6"/>
      <c r="X35" s="6"/>
      <c r="Y35" s="6"/>
      <c r="Z35" s="6"/>
    </row>
    <row r="36">
      <c r="A36" s="3"/>
      <c r="B36" s="1"/>
      <c r="C36" s="1"/>
      <c r="D36" s="3"/>
      <c r="E36" s="3"/>
      <c r="F36" s="1"/>
      <c r="G36" s="6"/>
      <c r="H36" s="6"/>
      <c r="I36" s="6"/>
      <c r="J36" s="6"/>
      <c r="U36" s="6"/>
      <c r="V36" s="6"/>
      <c r="W36" s="6"/>
      <c r="X36" s="6"/>
      <c r="Y36" s="6"/>
      <c r="Z36" s="6"/>
    </row>
    <row r="37">
      <c r="A37" s="3"/>
      <c r="B37" s="1"/>
      <c r="C37" s="1"/>
      <c r="D37" s="3"/>
      <c r="E37" s="3"/>
      <c r="F37" s="1"/>
      <c r="G37" s="6"/>
      <c r="H37" s="6"/>
      <c r="I37" s="6"/>
      <c r="J37" s="6"/>
      <c r="U37" s="6"/>
      <c r="V37" s="6"/>
      <c r="W37" s="6"/>
      <c r="X37" s="6"/>
      <c r="Y37" s="6"/>
      <c r="Z37" s="6"/>
    </row>
    <row r="38">
      <c r="A38" s="3"/>
      <c r="B38" s="1"/>
      <c r="C38" s="1"/>
      <c r="D38" s="3"/>
      <c r="E38" s="3"/>
      <c r="F38" s="6"/>
      <c r="G38" s="6"/>
      <c r="H38" s="6"/>
      <c r="I38" s="6"/>
      <c r="J38" s="6"/>
      <c r="U38" s="6"/>
      <c r="V38" s="6"/>
      <c r="W38" s="6"/>
      <c r="X38" s="6"/>
      <c r="Y38" s="6"/>
      <c r="Z38" s="6"/>
    </row>
    <row r="39">
      <c r="A39" s="3"/>
      <c r="B39" s="1"/>
      <c r="C39" s="1"/>
      <c r="D39" s="3"/>
      <c r="E39" s="3"/>
      <c r="F39" s="1"/>
      <c r="G39" s="6"/>
      <c r="H39" s="6"/>
      <c r="I39" s="6"/>
      <c r="J39" s="6"/>
      <c r="U39" s="6"/>
      <c r="V39" s="6"/>
      <c r="W39" s="6"/>
      <c r="X39" s="6"/>
      <c r="Y39" s="6"/>
      <c r="Z39" s="6"/>
    </row>
    <row r="40">
      <c r="A40" s="3"/>
      <c r="B40" s="1"/>
      <c r="C40" s="1"/>
      <c r="D40" s="3"/>
      <c r="E40" s="3"/>
      <c r="F40" s="1"/>
      <c r="G40" s="6"/>
      <c r="H40" s="6"/>
      <c r="I40" s="6"/>
      <c r="J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/>
  <pageMargins bottom="0.75" footer="0.0" header="0.0" left="0.7" right="0.7" top="0.75"/>
  <pageSetup paperSize="14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.5"/>
    <col customWidth="1" min="2" max="2" width="10.0"/>
    <col customWidth="1" min="4" max="4" width="4.63"/>
    <col customWidth="1" hidden="1" min="5" max="5" width="22.5"/>
    <col customWidth="1" min="6" max="6" width="44.75"/>
    <col customWidth="1" min="7" max="7" width="9.13"/>
    <col customWidth="1" min="8" max="8" width="8.88"/>
    <col customWidth="1" min="9" max="9" width="10.5"/>
    <col customWidth="1" min="10" max="10" width="6.75"/>
    <col customWidth="1" min="11" max="11" width="5.13"/>
    <col customWidth="1" min="12" max="12" width="26.38"/>
    <col customWidth="1" min="14" max="14" width="25.88"/>
    <col customWidth="1" min="15" max="15" width="13.0"/>
    <col customWidth="1" min="16" max="16" width="24.5"/>
    <col customWidth="1" min="18" max="18" width="5.5"/>
    <col customWidth="1" min="19" max="19" width="21.38"/>
    <col customWidth="1" min="21" max="21" width="23.13"/>
  </cols>
  <sheetData>
    <row r="1">
      <c r="A1" s="1" t="s">
        <v>1</v>
      </c>
      <c r="B1" s="1" t="s">
        <v>2</v>
      </c>
      <c r="C1" s="1" t="s">
        <v>3</v>
      </c>
      <c r="D1" s="3" t="s">
        <v>4</v>
      </c>
      <c r="E1" s="3"/>
      <c r="F1" s="1" t="s">
        <v>5</v>
      </c>
      <c r="G1" s="4" t="s">
        <v>42</v>
      </c>
      <c r="H1" s="3" t="s">
        <v>43</v>
      </c>
      <c r="I1" s="3" t="s">
        <v>44</v>
      </c>
      <c r="J1" s="3"/>
      <c r="K1" s="6"/>
      <c r="L1" s="29" t="s">
        <v>137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3">
        <v>1.0</v>
      </c>
      <c r="B2" s="1" t="s">
        <v>138</v>
      </c>
      <c r="C2" s="1" t="s">
        <v>21</v>
      </c>
      <c r="D2" s="3">
        <v>91.0</v>
      </c>
      <c r="E2" s="3" t="str">
        <f t="shared" ref="E2:E31" si="1">C2&amp;" "&amp;B2&amp;" "&amp;D2</f>
        <v>Jan Swęd 91</v>
      </c>
      <c r="F2" s="1" t="s">
        <v>72</v>
      </c>
      <c r="G2" s="3">
        <v>8.84</v>
      </c>
      <c r="H2" s="3">
        <v>7.912</v>
      </c>
      <c r="I2" s="30">
        <f t="shared" ref="I2:I20" si="2">MIN(G2:H2)</f>
        <v>7.912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3">
        <v>2.0</v>
      </c>
      <c r="B3" s="1" t="s">
        <v>139</v>
      </c>
      <c r="C3" s="1" t="s">
        <v>140</v>
      </c>
      <c r="D3" s="3">
        <v>97.0</v>
      </c>
      <c r="E3" s="3" t="str">
        <f t="shared" si="1"/>
        <v>Eryk Nawój 97</v>
      </c>
      <c r="F3" s="1" t="s">
        <v>12</v>
      </c>
      <c r="G3" s="3">
        <v>8.637</v>
      </c>
      <c r="H3" s="3">
        <v>10.876</v>
      </c>
      <c r="I3" s="30">
        <f t="shared" si="2"/>
        <v>8.637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3">
        <v>3.0</v>
      </c>
      <c r="B4" s="1" t="s">
        <v>141</v>
      </c>
      <c r="C4" s="1" t="s">
        <v>142</v>
      </c>
      <c r="D4" s="3">
        <v>79.0</v>
      </c>
      <c r="E4" s="3" t="str">
        <f t="shared" si="1"/>
        <v>Szymon Kopel 79</v>
      </c>
      <c r="F4" s="1" t="s">
        <v>47</v>
      </c>
      <c r="G4" s="3">
        <v>9.202</v>
      </c>
      <c r="H4" s="3">
        <v>9.514</v>
      </c>
      <c r="I4" s="30">
        <f t="shared" si="2"/>
        <v>9.202</v>
      </c>
      <c r="J4" s="6"/>
      <c r="L4" s="37" t="str">
        <f>E2</f>
        <v>Jan Swęd 91</v>
      </c>
      <c r="M4" s="40">
        <v>14.045</v>
      </c>
      <c r="N4" s="41"/>
      <c r="O4" s="4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3">
        <v>4.0</v>
      </c>
      <c r="B5" s="1" t="s">
        <v>143</v>
      </c>
      <c r="C5" s="1" t="s">
        <v>11</v>
      </c>
      <c r="D5" s="3">
        <v>74.0</v>
      </c>
      <c r="E5" s="3" t="str">
        <f t="shared" si="1"/>
        <v>Bartłomiej Adamczyk 74</v>
      </c>
      <c r="F5" s="1" t="s">
        <v>144</v>
      </c>
      <c r="G5" s="3">
        <v>9.917</v>
      </c>
      <c r="H5" s="3">
        <v>9.347</v>
      </c>
      <c r="I5" s="30">
        <f t="shared" si="2"/>
        <v>9.347</v>
      </c>
      <c r="J5" s="6"/>
      <c r="L5" s="41"/>
      <c r="M5" s="43"/>
      <c r="N5" s="35" t="str">
        <f>IFS(M4&gt;M6,L6,M6&gt;M4,L4)</f>
        <v>Jan Swęd 91</v>
      </c>
      <c r="O5" s="40">
        <v>10.15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3">
        <v>5.0</v>
      </c>
      <c r="B6" s="1" t="s">
        <v>145</v>
      </c>
      <c r="C6" s="1" t="s">
        <v>104</v>
      </c>
      <c r="D6" s="3">
        <v>92.0</v>
      </c>
      <c r="E6" s="3" t="str">
        <f t="shared" si="1"/>
        <v>Antoni Rygiel 92</v>
      </c>
      <c r="F6" s="1" t="s">
        <v>146</v>
      </c>
      <c r="G6" s="3">
        <v>10.38</v>
      </c>
      <c r="H6" s="3">
        <v>10.048</v>
      </c>
      <c r="I6" s="30">
        <f t="shared" si="2"/>
        <v>10.048</v>
      </c>
      <c r="J6" s="6"/>
      <c r="L6" s="44" t="str">
        <f>E17</f>
        <v>Filip Tutaj 96</v>
      </c>
      <c r="M6" s="40">
        <v>18.968</v>
      </c>
      <c r="N6" s="42"/>
      <c r="O6" s="4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3">
        <v>6.0</v>
      </c>
      <c r="B7" s="1" t="s">
        <v>147</v>
      </c>
      <c r="C7" s="1" t="s">
        <v>17</v>
      </c>
      <c r="D7" s="3">
        <v>55.0</v>
      </c>
      <c r="E7" s="3" t="str">
        <f t="shared" si="1"/>
        <v>Mikołaj Barabas 55</v>
      </c>
      <c r="F7" s="1" t="s">
        <v>28</v>
      </c>
      <c r="G7" s="3">
        <v>11.346</v>
      </c>
      <c r="H7" s="3">
        <v>10.144</v>
      </c>
      <c r="I7" s="30">
        <f t="shared" si="2"/>
        <v>10.144</v>
      </c>
      <c r="J7" s="6"/>
      <c r="L7" s="41"/>
      <c r="M7" s="42"/>
      <c r="N7" s="42"/>
      <c r="O7" s="42"/>
      <c r="P7" s="35" t="str">
        <f>IFS(O5&gt;O9,N9,O9&gt;O5,N5)</f>
        <v>Jan Swęd 91</v>
      </c>
      <c r="Q7" s="33">
        <v>1000.0</v>
      </c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A8" s="3">
        <v>7.0</v>
      </c>
      <c r="B8" s="1" t="s">
        <v>148</v>
      </c>
      <c r="C8" s="1" t="s">
        <v>149</v>
      </c>
      <c r="D8" s="3">
        <v>83.0</v>
      </c>
      <c r="E8" s="3" t="str">
        <f t="shared" si="1"/>
        <v>Tymon Ostafiński 83</v>
      </c>
      <c r="F8" s="1" t="s">
        <v>22</v>
      </c>
      <c r="G8" s="3">
        <v>10.664</v>
      </c>
      <c r="H8" s="3">
        <v>10.838</v>
      </c>
      <c r="I8" s="30">
        <f t="shared" si="2"/>
        <v>10.664</v>
      </c>
      <c r="J8" s="6"/>
      <c r="L8" s="44" t="str">
        <f>E9</f>
        <v>Mateusz Dąbrowski 87</v>
      </c>
      <c r="M8" s="40">
        <v>10.393</v>
      </c>
      <c r="N8" s="41" t="s">
        <v>38</v>
      </c>
      <c r="O8" s="4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>
      <c r="A9" s="3">
        <v>8.0</v>
      </c>
      <c r="B9" s="1" t="s">
        <v>150</v>
      </c>
      <c r="C9" s="1" t="s">
        <v>151</v>
      </c>
      <c r="D9" s="3">
        <v>87.0</v>
      </c>
      <c r="E9" s="3" t="str">
        <f t="shared" si="1"/>
        <v>Mateusz Dąbrowski 87</v>
      </c>
      <c r="F9" s="1" t="s">
        <v>72</v>
      </c>
      <c r="G9" s="3">
        <v>10.819</v>
      </c>
      <c r="H9" s="3">
        <v>10.691</v>
      </c>
      <c r="I9" s="30">
        <f t="shared" si="2"/>
        <v>10.691</v>
      </c>
      <c r="J9" s="6"/>
      <c r="L9" s="41"/>
      <c r="M9" s="43"/>
      <c r="N9" s="35" t="str">
        <f>IFS(M8&gt;M10,L10,M10&gt;M8,L8)</f>
        <v>Mateusz Dąbrowski 87</v>
      </c>
      <c r="O9" s="40">
        <v>10.459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3">
        <v>9.0</v>
      </c>
      <c r="B10" s="1" t="s">
        <v>152</v>
      </c>
      <c r="C10" s="1" t="s">
        <v>153</v>
      </c>
      <c r="D10" s="3">
        <v>90.0</v>
      </c>
      <c r="E10" s="3" t="str">
        <f t="shared" si="1"/>
        <v>Michał Muzaj 90</v>
      </c>
      <c r="F10" s="1" t="s">
        <v>72</v>
      </c>
      <c r="G10" s="3">
        <v>11.958</v>
      </c>
      <c r="H10" s="3">
        <v>1000.0</v>
      </c>
      <c r="I10" s="30">
        <f t="shared" si="2"/>
        <v>11.958</v>
      </c>
      <c r="J10" s="6"/>
      <c r="L10" s="44" t="str">
        <f>E10</f>
        <v>Michał Muzaj 90</v>
      </c>
      <c r="M10" s="40">
        <v>11.626</v>
      </c>
      <c r="N10" s="42"/>
      <c r="O10" s="4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3">
        <v>10.0</v>
      </c>
      <c r="B11" s="1" t="s">
        <v>154</v>
      </c>
      <c r="C11" s="1" t="s">
        <v>155</v>
      </c>
      <c r="D11" s="3">
        <v>44.0</v>
      </c>
      <c r="E11" s="3" t="str">
        <f t="shared" si="1"/>
        <v>Igor Sarnecki 44</v>
      </c>
      <c r="F11" s="1"/>
      <c r="G11" s="3">
        <v>12.546</v>
      </c>
      <c r="H11" s="3">
        <v>12.007</v>
      </c>
      <c r="I11" s="30">
        <f t="shared" si="2"/>
        <v>12.007</v>
      </c>
      <c r="J11" s="6"/>
      <c r="L11" s="41"/>
      <c r="M11" s="42"/>
      <c r="N11" s="42"/>
      <c r="O11" s="42"/>
      <c r="P11" s="6"/>
      <c r="Q11" s="6"/>
      <c r="R11" s="3"/>
      <c r="S11" s="6"/>
      <c r="T11" s="6"/>
      <c r="U11" s="6"/>
      <c r="V11" s="6"/>
      <c r="W11" s="6"/>
      <c r="X11" s="6"/>
      <c r="Y11" s="6"/>
      <c r="Z11" s="6"/>
      <c r="AA11" s="6"/>
    </row>
    <row r="12">
      <c r="A12" s="3">
        <v>11.0</v>
      </c>
      <c r="B12" s="1" t="s">
        <v>152</v>
      </c>
      <c r="C12" s="1" t="s">
        <v>151</v>
      </c>
      <c r="D12" s="3">
        <v>88.0</v>
      </c>
      <c r="E12" s="3" t="str">
        <f t="shared" si="1"/>
        <v>Mateusz Muzaj 88</v>
      </c>
      <c r="F12" s="6" t="s">
        <v>72</v>
      </c>
      <c r="G12" s="3">
        <v>13.389</v>
      </c>
      <c r="H12" s="3">
        <v>12.678</v>
      </c>
      <c r="I12" s="30">
        <f t="shared" si="2"/>
        <v>12.678</v>
      </c>
      <c r="J12" s="6"/>
      <c r="L12" s="44" t="str">
        <f>E5</f>
        <v>Bartłomiej Adamczyk 74</v>
      </c>
      <c r="M12" s="40">
        <v>10.46</v>
      </c>
      <c r="N12" s="41"/>
      <c r="O12" s="4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3">
        <v>12.0</v>
      </c>
      <c r="B13" s="1" t="s">
        <v>156</v>
      </c>
      <c r="C13" s="1" t="s">
        <v>157</v>
      </c>
      <c r="D13" s="3">
        <v>43.0</v>
      </c>
      <c r="E13" s="3" t="str">
        <f t="shared" si="1"/>
        <v>Filip Nowak 43</v>
      </c>
      <c r="F13" s="1"/>
      <c r="G13" s="3">
        <v>17.027</v>
      </c>
      <c r="H13" s="3">
        <v>14.699</v>
      </c>
      <c r="I13" s="30">
        <f t="shared" si="2"/>
        <v>14.699</v>
      </c>
      <c r="J13" s="6"/>
      <c r="L13" s="41"/>
      <c r="M13" s="43"/>
      <c r="N13" s="35" t="str">
        <f>IFS(M12&gt;M14,L14,M14&gt;M12,L12)</f>
        <v>Bartłomiej Adamczyk 74</v>
      </c>
      <c r="O13" s="40">
        <v>9.192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3">
        <v>13.0</v>
      </c>
      <c r="B14" s="1" t="s">
        <v>62</v>
      </c>
      <c r="C14" s="1" t="s">
        <v>158</v>
      </c>
      <c r="D14" s="3">
        <v>45.0</v>
      </c>
      <c r="E14" s="3" t="str">
        <f t="shared" si="1"/>
        <v>Robert Zając 45</v>
      </c>
      <c r="F14" s="1" t="s">
        <v>64</v>
      </c>
      <c r="G14" s="3">
        <v>14.917</v>
      </c>
      <c r="H14" s="3">
        <v>17.615</v>
      </c>
      <c r="I14" s="30">
        <f t="shared" si="2"/>
        <v>14.917</v>
      </c>
      <c r="J14" s="6"/>
      <c r="L14" s="44" t="str">
        <f>E14</f>
        <v>Robert Zając 45</v>
      </c>
      <c r="M14" s="40">
        <v>1000.0</v>
      </c>
      <c r="N14" s="42"/>
      <c r="O14" s="43"/>
      <c r="P14" s="3" t="s">
        <v>38</v>
      </c>
      <c r="Q14" s="6"/>
      <c r="R14" s="6"/>
      <c r="S14" s="31" t="s">
        <v>58</v>
      </c>
      <c r="T14" s="6"/>
      <c r="U14" s="6"/>
      <c r="V14" s="6"/>
      <c r="W14" s="6"/>
      <c r="X14" s="6"/>
      <c r="Y14" s="6"/>
      <c r="Z14" s="6"/>
      <c r="AA14" s="6"/>
    </row>
    <row r="15">
      <c r="A15" s="3">
        <v>14.0</v>
      </c>
      <c r="B15" s="1" t="s">
        <v>159</v>
      </c>
      <c r="C15" s="1" t="s">
        <v>106</v>
      </c>
      <c r="D15" s="3">
        <v>78.0</v>
      </c>
      <c r="E15" s="3" t="str">
        <f t="shared" si="1"/>
        <v>Maksymilian Siwek 78</v>
      </c>
      <c r="F15" s="1" t="s">
        <v>47</v>
      </c>
      <c r="G15" s="3">
        <v>15.78</v>
      </c>
      <c r="H15" s="3">
        <v>15.016</v>
      </c>
      <c r="I15" s="30">
        <f t="shared" si="2"/>
        <v>15.016</v>
      </c>
      <c r="J15" s="6"/>
      <c r="L15" s="41"/>
      <c r="M15" s="42"/>
      <c r="N15" s="42"/>
      <c r="O15" s="42"/>
      <c r="P15" s="35" t="str">
        <f>IFS(O13&gt;O17,N17,O17&gt;O13,N13)</f>
        <v>Bartłomiej Adamczyk 74</v>
      </c>
      <c r="Q15" s="33">
        <v>9.5</v>
      </c>
      <c r="R15" s="3"/>
      <c r="S15" s="37" t="str">
        <f>Ifs(Q7&gt;Q15,P15,Q15&gt;Q7,P7)</f>
        <v>Bartłomiej Adamczyk 74</v>
      </c>
      <c r="T15" s="33">
        <v>9.206</v>
      </c>
      <c r="U15" s="3" t="s">
        <v>61</v>
      </c>
      <c r="V15" s="6"/>
      <c r="W15" s="6"/>
      <c r="X15" s="6"/>
      <c r="Y15" s="6"/>
      <c r="Z15" s="6"/>
      <c r="AA15" s="6"/>
    </row>
    <row r="16">
      <c r="A16" s="3">
        <v>15.0</v>
      </c>
      <c r="B16" s="1" t="s">
        <v>160</v>
      </c>
      <c r="C16" s="1" t="s">
        <v>161</v>
      </c>
      <c r="D16" s="1">
        <v>100.0</v>
      </c>
      <c r="E16" s="3" t="str">
        <f t="shared" si="1"/>
        <v>Jurowski Artur 100</v>
      </c>
      <c r="F16" s="1"/>
      <c r="G16" s="3">
        <v>16.441</v>
      </c>
      <c r="H16" s="3">
        <v>1000.0</v>
      </c>
      <c r="I16" s="30">
        <f t="shared" si="2"/>
        <v>16.441</v>
      </c>
      <c r="J16" s="6"/>
      <c r="L16" s="44" t="str">
        <f>E6</f>
        <v>Antoni Rygiel 92</v>
      </c>
      <c r="M16" s="40">
        <v>13.235</v>
      </c>
      <c r="N16" s="41"/>
      <c r="O16" s="43"/>
      <c r="P16" s="6"/>
      <c r="Q16" s="6"/>
      <c r="R16" s="6"/>
      <c r="S16" s="6"/>
      <c r="T16" s="6"/>
      <c r="U16" s="38" t="str">
        <f>ifs(T17&gt;T15,S15,T15&gt;T17,S17)</f>
        <v>Eryk Nawój 97</v>
      </c>
      <c r="V16" s="6"/>
      <c r="W16" s="6"/>
      <c r="X16" s="6"/>
      <c r="Y16" s="6"/>
      <c r="Z16" s="6"/>
      <c r="AA16" s="6"/>
    </row>
    <row r="17">
      <c r="A17" s="15">
        <v>16.0</v>
      </c>
      <c r="B17" s="16" t="s">
        <v>162</v>
      </c>
      <c r="C17" s="16" t="s">
        <v>157</v>
      </c>
      <c r="D17" s="15">
        <v>96.0</v>
      </c>
      <c r="E17" s="15" t="str">
        <f t="shared" si="1"/>
        <v>Filip Tutaj 96</v>
      </c>
      <c r="F17" s="16" t="s">
        <v>12</v>
      </c>
      <c r="G17" s="15">
        <v>17.567</v>
      </c>
      <c r="H17" s="15">
        <v>18.259</v>
      </c>
      <c r="I17" s="39">
        <f t="shared" si="2"/>
        <v>17.567</v>
      </c>
      <c r="J17" s="15" t="s">
        <v>67</v>
      </c>
      <c r="L17" s="41"/>
      <c r="M17" s="43"/>
      <c r="N17" s="35" t="str">
        <f>IFS(M16&gt;M18,L18,M18&gt;M16,L16)</f>
        <v>Antoni Rygiel 92</v>
      </c>
      <c r="O17" s="40">
        <v>9.984</v>
      </c>
      <c r="P17" s="6"/>
      <c r="Q17" s="6"/>
      <c r="R17" s="6"/>
      <c r="S17" s="37" t="str">
        <f>ifs(Q23&gt;Q31,P31,Q31&gt;Q23,P23)</f>
        <v>Eryk Nawój 97</v>
      </c>
      <c r="T17" s="33">
        <v>8.483</v>
      </c>
      <c r="U17" s="3" t="s">
        <v>68</v>
      </c>
      <c r="V17" s="6"/>
      <c r="W17" s="6"/>
      <c r="X17" s="6"/>
      <c r="Y17" s="6"/>
      <c r="Z17" s="6"/>
      <c r="AA17" s="6"/>
    </row>
    <row r="18">
      <c r="A18" s="3">
        <v>17.0</v>
      </c>
      <c r="B18" s="1" t="s">
        <v>163</v>
      </c>
      <c r="C18" s="1" t="s">
        <v>157</v>
      </c>
      <c r="D18" s="3">
        <v>93.0</v>
      </c>
      <c r="E18" s="3" t="str">
        <f t="shared" si="1"/>
        <v>Filip Łoboda 93</v>
      </c>
      <c r="F18" s="1" t="s">
        <v>60</v>
      </c>
      <c r="G18" s="3">
        <v>1000.0</v>
      </c>
      <c r="H18" s="3">
        <v>18.999</v>
      </c>
      <c r="I18" s="30">
        <f t="shared" si="2"/>
        <v>18.999</v>
      </c>
      <c r="J18" s="6"/>
      <c r="L18" s="44" t="str">
        <f>E13</f>
        <v>Filip Nowak 43</v>
      </c>
      <c r="M18" s="40">
        <v>17.166</v>
      </c>
      <c r="N18" s="42"/>
      <c r="O18" s="42"/>
      <c r="P18" s="6"/>
      <c r="Q18" s="6"/>
      <c r="R18" s="6"/>
      <c r="S18" s="6"/>
      <c r="T18" s="3" t="s">
        <v>38</v>
      </c>
      <c r="U18" s="38" t="str">
        <f>ifs(T15&gt;T17,S15,T17&gt;T15,S17)</f>
        <v>Bartłomiej Adamczyk 74</v>
      </c>
      <c r="V18" s="6"/>
      <c r="W18" s="6"/>
      <c r="X18" s="6"/>
      <c r="Y18" s="6"/>
      <c r="Z18" s="6"/>
      <c r="AA18" s="6"/>
    </row>
    <row r="19">
      <c r="A19" s="3">
        <v>18.0</v>
      </c>
      <c r="B19" s="1" t="s">
        <v>164</v>
      </c>
      <c r="C19" s="1" t="s">
        <v>104</v>
      </c>
      <c r="D19" s="3">
        <v>76.0</v>
      </c>
      <c r="E19" s="3" t="str">
        <f t="shared" si="1"/>
        <v>Antoni Szczygła 76</v>
      </c>
      <c r="F19" s="1" t="s">
        <v>28</v>
      </c>
      <c r="G19" s="3">
        <v>23.053</v>
      </c>
      <c r="H19" s="3">
        <v>20.476</v>
      </c>
      <c r="I19" s="30">
        <f t="shared" si="2"/>
        <v>20.476</v>
      </c>
      <c r="J19" s="6"/>
      <c r="L19" s="6"/>
      <c r="M19" s="6"/>
      <c r="N19" s="6"/>
      <c r="O19" s="6"/>
      <c r="P19" s="6"/>
      <c r="Q19" s="6"/>
      <c r="R19" s="3"/>
      <c r="S19" s="6"/>
      <c r="T19" s="6"/>
      <c r="U19" s="6"/>
      <c r="V19" s="6"/>
      <c r="W19" s="6"/>
      <c r="X19" s="6"/>
      <c r="Y19" s="6"/>
      <c r="Z19" s="6"/>
      <c r="AA19" s="6"/>
    </row>
    <row r="20">
      <c r="A20" s="3">
        <v>19.0</v>
      </c>
      <c r="B20" s="1" t="s">
        <v>165</v>
      </c>
      <c r="C20" s="1" t="s">
        <v>166</v>
      </c>
      <c r="D20" s="3">
        <v>80.0</v>
      </c>
      <c r="E20" s="3" t="str">
        <f t="shared" si="1"/>
        <v>Kacper Blaszke 80</v>
      </c>
      <c r="F20" s="1" t="s">
        <v>47</v>
      </c>
      <c r="G20" s="3">
        <v>20.734</v>
      </c>
      <c r="H20" s="3">
        <v>20.676</v>
      </c>
      <c r="I20" s="30">
        <f t="shared" si="2"/>
        <v>20.676</v>
      </c>
      <c r="J20" s="6"/>
      <c r="L20" s="37" t="str">
        <f>E3</f>
        <v>Eryk Nawój 97</v>
      </c>
      <c r="M20" s="40">
        <v>8.361</v>
      </c>
      <c r="N20" s="41"/>
      <c r="O20" s="42"/>
      <c r="P20" s="6"/>
      <c r="Q20" s="6"/>
      <c r="R20" s="6"/>
      <c r="S20" s="31" t="s">
        <v>75</v>
      </c>
      <c r="T20" s="6"/>
      <c r="U20" s="6"/>
      <c r="V20" s="6"/>
      <c r="W20" s="6"/>
      <c r="X20" s="6"/>
      <c r="Y20" s="6"/>
      <c r="Z20" s="6"/>
      <c r="AA20" s="6"/>
    </row>
    <row r="21">
      <c r="A21" s="3"/>
      <c r="B21" s="3"/>
      <c r="C21" s="1"/>
      <c r="D21" s="1"/>
      <c r="E21" s="3" t="str">
        <f t="shared" si="1"/>
        <v>  </v>
      </c>
      <c r="F21" s="1"/>
      <c r="G21" s="6"/>
      <c r="H21" s="6"/>
      <c r="I21" s="6"/>
      <c r="J21" s="6"/>
      <c r="L21" s="41"/>
      <c r="M21" s="43"/>
      <c r="N21" s="35" t="str">
        <f>IFS(M20&gt;M22,L22,M22&gt;M20,L20)</f>
        <v>Eryk Nawój 97</v>
      </c>
      <c r="O21" s="40">
        <v>8.241</v>
      </c>
      <c r="P21" s="6"/>
      <c r="Q21" s="6"/>
      <c r="R21" s="6"/>
      <c r="S21" s="35" t="str">
        <f>IFS(Q7&gt;Q15,P7,Q15&gt;Q7,P15)</f>
        <v>Jan Swęd 91</v>
      </c>
      <c r="T21" s="33">
        <v>10.329</v>
      </c>
      <c r="U21" s="3" t="s">
        <v>78</v>
      </c>
      <c r="V21" s="6"/>
      <c r="W21" s="6"/>
      <c r="X21" s="6"/>
      <c r="Y21" s="6"/>
      <c r="Z21" s="6"/>
      <c r="AA21" s="6"/>
    </row>
    <row r="22">
      <c r="A22" s="3"/>
      <c r="E22" s="3" t="str">
        <f t="shared" si="1"/>
        <v>  </v>
      </c>
      <c r="G22" s="6"/>
      <c r="H22" s="6"/>
      <c r="I22" s="6"/>
      <c r="J22" s="6"/>
      <c r="L22" s="44" t="str">
        <f>E16</f>
        <v>Jurowski Artur 100</v>
      </c>
      <c r="M22" s="40">
        <v>17.518</v>
      </c>
      <c r="N22" s="42"/>
      <c r="O22" s="43"/>
      <c r="P22" s="6"/>
      <c r="Q22" s="6"/>
      <c r="R22" s="6"/>
      <c r="S22" s="6"/>
      <c r="T22" s="6"/>
      <c r="U22" s="38" t="str">
        <f>ifs(T23&gt;T21,S21,T21&gt;T23,S23)</f>
        <v>Jan Swęd 91</v>
      </c>
      <c r="V22" s="6"/>
      <c r="W22" s="6"/>
      <c r="X22" s="6"/>
      <c r="Y22" s="6"/>
      <c r="Z22" s="6"/>
      <c r="AA22" s="6"/>
    </row>
    <row r="23">
      <c r="A23" s="3"/>
      <c r="B23" s="1"/>
      <c r="C23" s="1"/>
      <c r="D23" s="3"/>
      <c r="E23" s="3" t="str">
        <f t="shared" si="1"/>
        <v>  </v>
      </c>
      <c r="F23" s="1"/>
      <c r="G23" s="6"/>
      <c r="H23" s="6"/>
      <c r="I23" s="6"/>
      <c r="J23" s="6"/>
      <c r="L23" s="41"/>
      <c r="M23" s="42"/>
      <c r="N23" s="42"/>
      <c r="O23" s="42"/>
      <c r="P23" s="35" t="str">
        <f>IFS(O21&gt;O25,N25,O25&gt;O21,N21)</f>
        <v>Eryk Nawój 97</v>
      </c>
      <c r="Q23" s="33">
        <v>11.025</v>
      </c>
      <c r="R23" s="3"/>
      <c r="S23" s="37" t="str">
        <f>IFS(Q23&gt;Q31,P23,Q31&gt;Q23,P31)</f>
        <v>Mikołaj Barabas 55</v>
      </c>
      <c r="T23" s="33">
        <v>10.897</v>
      </c>
      <c r="U23" s="3" t="s">
        <v>83</v>
      </c>
      <c r="V23" s="6"/>
      <c r="W23" s="6"/>
      <c r="X23" s="6"/>
      <c r="Y23" s="6"/>
      <c r="Z23" s="6"/>
      <c r="AA23" s="6"/>
    </row>
    <row r="24">
      <c r="A24" s="3"/>
      <c r="B24" s="1"/>
      <c r="C24" s="1"/>
      <c r="D24" s="3"/>
      <c r="E24" s="3" t="str">
        <f t="shared" si="1"/>
        <v>  </v>
      </c>
      <c r="F24" s="1"/>
      <c r="G24" s="6"/>
      <c r="H24" s="6"/>
      <c r="I24" s="6"/>
      <c r="J24" s="6"/>
      <c r="L24" s="44" t="str">
        <f>E8</f>
        <v>Tymon Ostafiński 83</v>
      </c>
      <c r="M24" s="40">
        <v>10.769</v>
      </c>
      <c r="N24" s="41" t="s">
        <v>38</v>
      </c>
      <c r="O24" s="43"/>
      <c r="P24" s="6"/>
      <c r="Q24" s="6"/>
      <c r="R24" s="6"/>
      <c r="S24" s="6"/>
      <c r="T24" s="6"/>
      <c r="U24" s="38" t="str">
        <f>ifs(T21&gt;T23,S21,T23&gt;T21,S23)</f>
        <v>Mikołaj Barabas 55</v>
      </c>
      <c r="V24" s="6"/>
      <c r="W24" s="6"/>
      <c r="X24" s="6"/>
      <c r="Y24" s="6"/>
      <c r="Z24" s="6"/>
      <c r="AA24" s="6"/>
    </row>
    <row r="25">
      <c r="A25" s="3"/>
      <c r="B25" s="1"/>
      <c r="C25" s="1"/>
      <c r="D25" s="3"/>
      <c r="E25" s="3" t="str">
        <f t="shared" si="1"/>
        <v>  </v>
      </c>
      <c r="F25" s="1"/>
      <c r="G25" s="6"/>
      <c r="H25" s="6"/>
      <c r="I25" s="6"/>
      <c r="J25" s="6"/>
      <c r="L25" s="41"/>
      <c r="M25" s="43"/>
      <c r="N25" s="35" t="str">
        <f>IFS(M24&gt;M26,L26,M26&gt;M24,L24)</f>
        <v>Tymon Ostafiński 83</v>
      </c>
      <c r="O25" s="40">
        <v>10.175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>
      <c r="A26" s="3"/>
      <c r="B26" s="1"/>
      <c r="C26" s="1"/>
      <c r="D26" s="3"/>
      <c r="E26" s="3" t="str">
        <f t="shared" si="1"/>
        <v>  </v>
      </c>
      <c r="F26" s="3"/>
      <c r="G26" s="6"/>
      <c r="H26" s="6"/>
      <c r="I26" s="6"/>
      <c r="J26" s="6"/>
      <c r="L26" s="44" t="str">
        <f>E11</f>
        <v>Igor Sarnecki 44</v>
      </c>
      <c r="M26" s="40">
        <v>11.482</v>
      </c>
      <c r="N26" s="42"/>
      <c r="O26" s="4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>
      <c r="A27" s="3"/>
      <c r="B27" s="1"/>
      <c r="C27" s="1"/>
      <c r="D27" s="3"/>
      <c r="E27" s="3" t="str">
        <f t="shared" si="1"/>
        <v>  </v>
      </c>
      <c r="F27" s="1"/>
      <c r="G27" s="6"/>
      <c r="H27" s="6"/>
      <c r="I27" s="6"/>
      <c r="J27" s="6"/>
      <c r="L27" s="41"/>
      <c r="M27" s="42"/>
      <c r="N27" s="42"/>
      <c r="O27" s="4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>
      <c r="A28" s="3"/>
      <c r="B28" s="1"/>
      <c r="C28" s="1"/>
      <c r="D28" s="3"/>
      <c r="E28" s="3" t="str">
        <f t="shared" si="1"/>
        <v>  </v>
      </c>
      <c r="F28" s="1"/>
      <c r="G28" s="6"/>
      <c r="H28" s="6"/>
      <c r="I28" s="6"/>
      <c r="J28" s="6"/>
      <c r="L28" s="44" t="str">
        <f>E4</f>
        <v>Szymon Kopel 79</v>
      </c>
      <c r="M28" s="40">
        <v>8.998</v>
      </c>
      <c r="N28" s="41"/>
      <c r="O28" s="4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>
      <c r="A29" s="3"/>
      <c r="B29" s="1"/>
      <c r="C29" s="1"/>
      <c r="D29" s="3"/>
      <c r="E29" s="3" t="str">
        <f t="shared" si="1"/>
        <v>  </v>
      </c>
      <c r="F29" s="1"/>
      <c r="G29" s="6"/>
      <c r="H29" s="6"/>
      <c r="I29" s="6"/>
      <c r="J29" s="6"/>
      <c r="L29" s="41"/>
      <c r="M29" s="43"/>
      <c r="N29" s="35" t="str">
        <f>IFS(M28&gt;M30,L30,M30&gt;M28,L28)</f>
        <v>Szymon Kopel 79</v>
      </c>
      <c r="O29" s="40">
        <v>10.479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>
      <c r="A30" s="3"/>
      <c r="B30" s="1"/>
      <c r="C30" s="1"/>
      <c r="D30" s="3"/>
      <c r="E30" s="3" t="str">
        <f t="shared" si="1"/>
        <v>  </v>
      </c>
      <c r="F30" s="1"/>
      <c r="G30" s="6"/>
      <c r="H30" s="6"/>
      <c r="I30" s="6"/>
      <c r="J30" s="6"/>
      <c r="L30" s="44" t="str">
        <f>E15</f>
        <v>Maksymilian Siwek 78</v>
      </c>
      <c r="M30" s="40">
        <v>14.833</v>
      </c>
      <c r="N30" s="42"/>
      <c r="O30" s="43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>
      <c r="A31" s="3"/>
      <c r="B31" s="1"/>
      <c r="C31" s="1"/>
      <c r="D31" s="3"/>
      <c r="E31" s="3" t="str">
        <f t="shared" si="1"/>
        <v>  </v>
      </c>
      <c r="F31" s="1"/>
      <c r="G31" s="6"/>
      <c r="H31" s="6"/>
      <c r="I31" s="6"/>
      <c r="J31" s="6"/>
      <c r="L31" s="41"/>
      <c r="M31" s="42"/>
      <c r="N31" s="42"/>
      <c r="O31" s="42"/>
      <c r="P31" s="35" t="str">
        <f>IFS(O29&gt;O33,N33,O33&gt;O29,N29)</f>
        <v>Mikołaj Barabas 55</v>
      </c>
      <c r="Q31" s="33">
        <v>1000.0</v>
      </c>
      <c r="R31" s="6"/>
      <c r="S31" s="6"/>
      <c r="T31" s="6"/>
      <c r="U31" s="6"/>
      <c r="V31" s="6"/>
      <c r="W31" s="6"/>
      <c r="X31" s="6"/>
      <c r="Y31" s="6"/>
      <c r="Z31" s="6"/>
      <c r="AA31" s="6"/>
    </row>
    <row r="32">
      <c r="A32" s="3"/>
      <c r="B32" s="1"/>
      <c r="C32" s="1"/>
      <c r="D32" s="3"/>
      <c r="E32" s="3"/>
      <c r="F32" s="1"/>
      <c r="G32" s="6"/>
      <c r="H32" s="6"/>
      <c r="I32" s="6"/>
      <c r="J32" s="6"/>
      <c r="L32" s="44" t="str">
        <f>E7</f>
        <v>Mikołaj Barabas 55</v>
      </c>
      <c r="M32" s="40">
        <v>11.084</v>
      </c>
      <c r="N32" s="41"/>
      <c r="O32" s="4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>
      <c r="A33" s="3"/>
      <c r="B33" s="1"/>
      <c r="C33" s="1"/>
      <c r="D33" s="3"/>
      <c r="E33" s="3"/>
      <c r="F33" s="1"/>
      <c r="G33" s="6"/>
      <c r="H33" s="6"/>
      <c r="I33" s="6"/>
      <c r="J33" s="6"/>
      <c r="L33" s="41"/>
      <c r="M33" s="43"/>
      <c r="N33" s="35" t="str">
        <f>IFS(M32&gt;M34,L34,M34&gt;M32,L32)</f>
        <v>Mikołaj Barabas 55</v>
      </c>
      <c r="O33" s="40">
        <v>9.839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>
      <c r="A34" s="3"/>
      <c r="B34" s="1"/>
      <c r="C34" s="1"/>
      <c r="D34" s="3"/>
      <c r="E34" s="3"/>
      <c r="F34" s="1"/>
      <c r="G34" s="6"/>
      <c r="H34" s="6"/>
      <c r="I34" s="6"/>
      <c r="J34" s="6"/>
      <c r="L34" s="44" t="str">
        <f>E12</f>
        <v>Mateusz Muzaj 88</v>
      </c>
      <c r="M34" s="40">
        <v>11.729</v>
      </c>
      <c r="N34" s="42"/>
      <c r="O34" s="4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>
      <c r="A35" s="3"/>
      <c r="B35" s="1"/>
      <c r="C35" s="1"/>
      <c r="D35" s="3"/>
      <c r="E35" s="3"/>
      <c r="F35" s="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>
      <c r="A36" s="3"/>
      <c r="B36" s="1"/>
      <c r="C36" s="1"/>
      <c r="D36" s="3"/>
      <c r="E36" s="3"/>
      <c r="F36" s="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>
      <c r="A37" s="3"/>
      <c r="B37" s="1"/>
      <c r="C37" s="1"/>
      <c r="D37" s="3"/>
      <c r="E37" s="3"/>
      <c r="F37" s="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>
      <c r="A38" s="3"/>
      <c r="B38" s="1"/>
      <c r="C38" s="1"/>
      <c r="D38" s="3"/>
      <c r="E38" s="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>
      <c r="A39" s="3"/>
      <c r="B39" s="1"/>
      <c r="C39" s="1"/>
      <c r="D39" s="3"/>
      <c r="E39" s="3"/>
      <c r="F39" s="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>
      <c r="A40" s="3"/>
      <c r="B40" s="1"/>
      <c r="C40" s="1"/>
      <c r="D40" s="3"/>
      <c r="E40" s="3"/>
      <c r="F40" s="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printOptions/>
  <pageMargins bottom="0.75" footer="0.0" header="0.0" left="0.7" right="0.7" top="0.75"/>
  <pageSetup fitToHeight="0" paperSize="9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.5"/>
    <col customWidth="1" min="2" max="2" width="9.63"/>
    <col customWidth="1" min="3" max="3" width="9.88"/>
    <col customWidth="1" min="4" max="4" width="9.75"/>
    <col customWidth="1" hidden="1" min="5" max="5" width="23.0"/>
    <col customWidth="1" min="6" max="6" width="37.75"/>
    <col customWidth="1" min="7" max="7" width="8.5"/>
    <col customWidth="1" min="8" max="8" width="7.88"/>
    <col customWidth="1" min="9" max="9" width="10.75"/>
    <col customWidth="1" min="10" max="10" width="6.25"/>
    <col customWidth="1" min="11" max="11" width="5.25"/>
    <col customWidth="1" min="12" max="12" width="20.13"/>
    <col customWidth="1" min="14" max="14" width="6.0"/>
    <col customWidth="1" min="15" max="15" width="21.38"/>
    <col customWidth="1" min="17" max="17" width="20.38"/>
  </cols>
  <sheetData>
    <row r="1">
      <c r="A1" s="1" t="s">
        <v>1</v>
      </c>
      <c r="B1" s="1" t="s">
        <v>2</v>
      </c>
      <c r="C1" s="1" t="s">
        <v>3</v>
      </c>
      <c r="D1" s="4" t="s">
        <v>4</v>
      </c>
      <c r="E1" s="4"/>
      <c r="F1" s="1" t="s">
        <v>5</v>
      </c>
      <c r="G1" s="4" t="s">
        <v>42</v>
      </c>
      <c r="H1" s="3" t="s">
        <v>43</v>
      </c>
      <c r="I1" s="3" t="s">
        <v>44</v>
      </c>
      <c r="J1" s="1"/>
      <c r="K1" s="1"/>
      <c r="L1" s="29" t="s">
        <v>167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>
        <v>1.0</v>
      </c>
      <c r="B2" s="1" t="s">
        <v>168</v>
      </c>
      <c r="C2" s="1" t="s">
        <v>63</v>
      </c>
      <c r="D2" s="3">
        <v>58.0</v>
      </c>
      <c r="E2" s="3" t="str">
        <f t="shared" ref="E2:E8" si="1">C2&amp;" "&amp;B2&amp;" "&amp;D2</f>
        <v>Daria Marciniak 58</v>
      </c>
      <c r="F2" s="1" t="s">
        <v>88</v>
      </c>
      <c r="G2" s="1">
        <v>8.827</v>
      </c>
      <c r="H2" s="1">
        <v>9.028</v>
      </c>
      <c r="I2" s="30">
        <f t="shared" ref="I2:I8" si="2">min(G2,H2)</f>
        <v>8.827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1">
        <v>2.0</v>
      </c>
      <c r="B3" s="1" t="s">
        <v>169</v>
      </c>
      <c r="C3" s="1" t="s">
        <v>133</v>
      </c>
      <c r="D3" s="3">
        <v>38.0</v>
      </c>
      <c r="E3" s="3" t="str">
        <f t="shared" si="1"/>
        <v>Magdalena Blachnicka 38</v>
      </c>
      <c r="F3" s="1" t="s">
        <v>47</v>
      </c>
      <c r="G3" s="3">
        <v>9.505</v>
      </c>
      <c r="H3" s="3">
        <v>9.488</v>
      </c>
      <c r="I3" s="30">
        <f t="shared" si="2"/>
        <v>9.488</v>
      </c>
      <c r="J3" s="6"/>
      <c r="K3" s="6"/>
      <c r="L3" s="6"/>
      <c r="M3" s="6"/>
      <c r="N3" s="6"/>
      <c r="O3" s="6"/>
      <c r="P3" s="6"/>
      <c r="Q3" s="6"/>
      <c r="R3" s="6"/>
      <c r="T3" s="6"/>
      <c r="U3" s="6"/>
      <c r="V3" s="6"/>
      <c r="W3" s="6"/>
      <c r="X3" s="6"/>
      <c r="Y3" s="6"/>
    </row>
    <row r="4">
      <c r="A4" s="1">
        <v>3.0</v>
      </c>
      <c r="B4" s="1" t="s">
        <v>170</v>
      </c>
      <c r="C4" s="1" t="s">
        <v>171</v>
      </c>
      <c r="D4" s="3">
        <v>32.0</v>
      </c>
      <c r="E4" s="3" t="str">
        <f t="shared" si="1"/>
        <v>Arlena Sznajder 32</v>
      </c>
      <c r="F4" s="1" t="s">
        <v>22</v>
      </c>
      <c r="G4" s="1">
        <v>11.587</v>
      </c>
      <c r="H4" s="1">
        <v>9.723</v>
      </c>
      <c r="I4" s="30">
        <f t="shared" si="2"/>
        <v>9.723</v>
      </c>
      <c r="J4" s="6"/>
      <c r="K4" s="6"/>
      <c r="L4" s="45" t="str">
        <f>E2</f>
        <v>Daria Marciniak 58</v>
      </c>
      <c r="M4" s="46">
        <v>8.908</v>
      </c>
      <c r="N4" s="42"/>
      <c r="O4" s="42"/>
      <c r="P4" s="42"/>
      <c r="Q4" s="42"/>
      <c r="R4" s="1"/>
      <c r="T4" s="6"/>
      <c r="U4" s="6"/>
      <c r="V4" s="6"/>
      <c r="W4" s="6"/>
      <c r="X4" s="6"/>
      <c r="Y4" s="6"/>
    </row>
    <row r="5">
      <c r="A5" s="16">
        <v>4.0</v>
      </c>
      <c r="B5" s="16" t="s">
        <v>156</v>
      </c>
      <c r="C5" s="16" t="s">
        <v>172</v>
      </c>
      <c r="D5" s="15">
        <v>60.0</v>
      </c>
      <c r="E5" s="15" t="str">
        <f t="shared" si="1"/>
        <v>Alicja Nowak 60</v>
      </c>
      <c r="F5" s="16" t="s">
        <v>9</v>
      </c>
      <c r="G5" s="16">
        <v>1000.0</v>
      </c>
      <c r="H5" s="16">
        <v>10.376</v>
      </c>
      <c r="I5" s="39">
        <f t="shared" si="2"/>
        <v>10.376</v>
      </c>
      <c r="J5" s="15" t="s">
        <v>67</v>
      </c>
      <c r="K5" s="6"/>
      <c r="L5" s="47"/>
      <c r="M5" s="48"/>
      <c r="N5" s="49"/>
      <c r="O5" s="41" t="s">
        <v>58</v>
      </c>
      <c r="P5" s="41"/>
      <c r="Q5" s="42"/>
      <c r="R5" s="6"/>
      <c r="T5" s="6"/>
      <c r="U5" s="6"/>
      <c r="V5" s="6"/>
      <c r="W5" s="6"/>
      <c r="X5" s="6"/>
      <c r="Y5" s="6"/>
    </row>
    <row r="6">
      <c r="A6" s="1">
        <v>5.0</v>
      </c>
      <c r="B6" s="1" t="s">
        <v>173</v>
      </c>
      <c r="C6" s="1" t="s">
        <v>174</v>
      </c>
      <c r="D6" s="3">
        <v>36.0</v>
      </c>
      <c r="E6" s="3" t="str">
        <f t="shared" si="1"/>
        <v>Olimpia Markisch 36</v>
      </c>
      <c r="F6" s="1" t="s">
        <v>22</v>
      </c>
      <c r="G6" s="1">
        <v>1000.0</v>
      </c>
      <c r="H6" s="1">
        <v>11.009</v>
      </c>
      <c r="I6" s="30">
        <f t="shared" si="2"/>
        <v>11.009</v>
      </c>
      <c r="J6" s="6"/>
      <c r="K6" s="50"/>
      <c r="L6" s="51" t="str">
        <f>E5</f>
        <v>Alicja Nowak 60</v>
      </c>
      <c r="M6" s="52">
        <v>11.173</v>
      </c>
      <c r="N6" s="43"/>
      <c r="O6" s="53" t="str">
        <f>Ifs(M4&gt;M6,L6,M6&gt;M4,L4)</f>
        <v>Daria Marciniak 58</v>
      </c>
      <c r="P6" s="52">
        <v>8.812</v>
      </c>
      <c r="Q6" s="54" t="s">
        <v>61</v>
      </c>
      <c r="R6" s="1"/>
      <c r="T6" s="6"/>
      <c r="U6" s="6"/>
      <c r="V6" s="6"/>
      <c r="W6" s="6"/>
      <c r="X6" s="6"/>
      <c r="Y6" s="6"/>
    </row>
    <row r="7">
      <c r="A7" s="1">
        <v>6.0</v>
      </c>
      <c r="B7" s="1" t="s">
        <v>175</v>
      </c>
      <c r="C7" s="1" t="s">
        <v>125</v>
      </c>
      <c r="D7" s="3">
        <v>67.0</v>
      </c>
      <c r="E7" s="3" t="str">
        <f t="shared" si="1"/>
        <v>Natalia Chojnacka 67</v>
      </c>
      <c r="F7" s="1" t="s">
        <v>88</v>
      </c>
      <c r="G7" s="1">
        <v>15.542</v>
      </c>
      <c r="H7" s="1">
        <v>16.636</v>
      </c>
      <c r="I7" s="30">
        <f t="shared" si="2"/>
        <v>15.542</v>
      </c>
      <c r="J7" s="6"/>
      <c r="K7" s="6"/>
      <c r="L7" s="55" t="s">
        <v>38</v>
      </c>
      <c r="M7" s="55"/>
      <c r="N7" s="42"/>
      <c r="O7" s="41"/>
      <c r="P7" s="56"/>
      <c r="Q7" s="57" t="str">
        <f>ifs(P8&gt;P6,O6,P6&gt;P8,O8)</f>
        <v>Daria Marciniak 58</v>
      </c>
      <c r="R7" s="6"/>
      <c r="T7" s="6"/>
      <c r="U7" s="6"/>
      <c r="V7" s="6"/>
      <c r="W7" s="6"/>
      <c r="X7" s="6"/>
      <c r="Y7" s="6"/>
    </row>
    <row r="8">
      <c r="A8" s="1">
        <v>7.0</v>
      </c>
      <c r="B8" s="1" t="s">
        <v>176</v>
      </c>
      <c r="C8" s="1" t="s">
        <v>52</v>
      </c>
      <c r="D8" s="3">
        <v>46.0</v>
      </c>
      <c r="E8" s="3" t="str">
        <f t="shared" si="1"/>
        <v>Antonina Bujak 46</v>
      </c>
      <c r="F8" s="1" t="s">
        <v>28</v>
      </c>
      <c r="G8" s="1">
        <v>18.545</v>
      </c>
      <c r="H8" s="1">
        <v>16.724</v>
      </c>
      <c r="I8" s="30">
        <f t="shared" si="2"/>
        <v>16.724</v>
      </c>
      <c r="J8" s="6"/>
      <c r="K8" s="6"/>
      <c r="L8" s="51" t="str">
        <f>E3</f>
        <v>Magdalena Blachnicka 38</v>
      </c>
      <c r="M8" s="52">
        <v>9.391</v>
      </c>
      <c r="N8" s="43"/>
      <c r="O8" s="58" t="str">
        <f>ifs(M8&gt;M10,L10,M10&gt;M8,L8)</f>
        <v>Arlena Sznajder 32</v>
      </c>
      <c r="P8" s="52">
        <v>10.714</v>
      </c>
      <c r="Q8" s="54" t="s">
        <v>68</v>
      </c>
      <c r="R8" s="6"/>
      <c r="T8" s="6"/>
      <c r="U8" s="6"/>
      <c r="V8" s="6"/>
      <c r="W8" s="6"/>
      <c r="X8" s="6"/>
      <c r="Y8" s="6"/>
    </row>
    <row r="9">
      <c r="A9" s="1"/>
      <c r="B9" s="6"/>
      <c r="C9" s="6"/>
      <c r="D9" s="6"/>
      <c r="E9" s="6"/>
      <c r="F9" s="6"/>
      <c r="G9" s="3"/>
      <c r="H9" s="6"/>
      <c r="I9" s="6"/>
      <c r="J9" s="6"/>
      <c r="K9" s="6"/>
      <c r="L9" s="59"/>
      <c r="M9" s="60"/>
      <c r="N9" s="42"/>
      <c r="O9" s="42"/>
      <c r="P9" s="61"/>
      <c r="Q9" s="57" t="str">
        <f>ifs(P6&gt;P8,O6,P8&gt;P6,O8)</f>
        <v>Arlena Sznajder 32</v>
      </c>
      <c r="R9" s="6"/>
      <c r="T9" s="6"/>
      <c r="U9" s="6"/>
      <c r="V9" s="6"/>
      <c r="W9" s="6"/>
      <c r="X9" s="6"/>
      <c r="Y9" s="6"/>
    </row>
    <row r="10">
      <c r="A10" s="1"/>
      <c r="B10" s="6"/>
      <c r="C10" s="6"/>
      <c r="D10" s="6"/>
      <c r="E10" s="6"/>
      <c r="F10" s="6"/>
      <c r="G10" s="62"/>
      <c r="H10" s="6"/>
      <c r="I10" s="6"/>
      <c r="J10" s="6"/>
      <c r="K10" s="6"/>
      <c r="L10" s="51" t="str">
        <f>E4</f>
        <v>Arlena Sznajder 32</v>
      </c>
      <c r="M10" s="52">
        <v>9.277</v>
      </c>
      <c r="N10" s="42"/>
      <c r="O10" s="63"/>
      <c r="P10" s="42"/>
      <c r="Q10" s="42"/>
      <c r="R10" s="1"/>
      <c r="T10" s="6"/>
      <c r="U10" s="6"/>
      <c r="V10" s="6"/>
      <c r="W10" s="6"/>
      <c r="X10" s="6"/>
      <c r="Y10" s="6"/>
    </row>
    <row r="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2"/>
      <c r="O11" s="41" t="s">
        <v>75</v>
      </c>
      <c r="P11" s="41"/>
      <c r="Q11" s="42"/>
      <c r="R11" s="6"/>
      <c r="T11" s="6"/>
      <c r="U11" s="6"/>
      <c r="V11" s="6"/>
      <c r="W11" s="6"/>
      <c r="X11" s="6"/>
      <c r="Y11" s="6"/>
    </row>
    <row r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3"/>
      <c r="O12" s="58" t="str">
        <f>IFS(M4&gt;M6,L4,M6&gt;M4,L6)</f>
        <v>Alicja Nowak 60</v>
      </c>
      <c r="P12" s="52">
        <v>1000.0</v>
      </c>
      <c r="Q12" s="54" t="s">
        <v>78</v>
      </c>
      <c r="R12" s="1"/>
      <c r="T12" s="6"/>
      <c r="U12" s="6"/>
      <c r="V12" s="6"/>
      <c r="W12" s="6"/>
      <c r="X12" s="6"/>
      <c r="Y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2"/>
      <c r="O13" s="41"/>
      <c r="P13" s="56"/>
      <c r="Q13" s="57" t="str">
        <f>ifs(P14&gt;P12,O12,P12&gt;P14,O14)</f>
        <v>Magdalena Blachnicka 38</v>
      </c>
      <c r="R13" s="6"/>
      <c r="T13" s="6"/>
      <c r="U13" s="6"/>
      <c r="V13" s="6"/>
      <c r="W13" s="6"/>
      <c r="X13" s="6"/>
      <c r="Y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3"/>
      <c r="O14" s="58" t="str">
        <f>IFS(M8&gt;M10,L8,M10&gt;M8,L10)</f>
        <v>Magdalena Blachnicka 38</v>
      </c>
      <c r="P14" s="52">
        <v>9.163</v>
      </c>
      <c r="Q14" s="54" t="s">
        <v>83</v>
      </c>
      <c r="R14" s="6"/>
      <c r="T14" s="6"/>
      <c r="U14" s="6"/>
      <c r="V14" s="6"/>
      <c r="W14" s="6"/>
      <c r="X14" s="6"/>
      <c r="Y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42"/>
      <c r="M15" s="42"/>
      <c r="N15" s="42"/>
      <c r="O15" s="42"/>
      <c r="P15" s="61"/>
      <c r="Q15" s="57" t="str">
        <f>ifs(P12&gt;P14,O12,P14&gt;P12,O14)</f>
        <v>Alicja Nowak 60</v>
      </c>
      <c r="R15" s="6"/>
      <c r="T15" s="6"/>
      <c r="U15" s="6"/>
      <c r="V15" s="6"/>
      <c r="W15" s="6"/>
      <c r="X15" s="6"/>
      <c r="Y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2"/>
      <c r="O16" s="42"/>
      <c r="P16" s="42"/>
      <c r="Q16" s="42"/>
      <c r="R16" s="6"/>
      <c r="T16" s="6"/>
      <c r="U16" s="6"/>
      <c r="V16" s="6"/>
      <c r="W16" s="6"/>
      <c r="X16" s="6"/>
      <c r="Y16" s="6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printOptions/>
  <pageMargins bottom="0.75" footer="0.0" header="0.0" left="0.7" right="0.7" top="0.75"/>
  <pageSetup fitToHeight="0" paperSize="9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.38"/>
    <col customWidth="1" min="2" max="2" width="9.75"/>
    <col customWidth="1" min="3" max="3" width="9.38"/>
    <col customWidth="1" min="4" max="4" width="9.75"/>
    <col customWidth="1" hidden="1" min="5" max="5" width="18.38"/>
    <col customWidth="1" min="6" max="6" width="45.13"/>
    <col customWidth="1" min="7" max="7" width="8.5"/>
    <col customWidth="1" min="8" max="8" width="8.13"/>
    <col customWidth="1" min="9" max="9" width="10.88"/>
    <col customWidth="1" min="10" max="10" width="6.63"/>
    <col customWidth="1" min="11" max="11" width="5.5"/>
    <col customWidth="1" min="12" max="12" width="18.25"/>
    <col customWidth="1" min="14" max="14" width="5.25"/>
    <col customWidth="1" min="15" max="15" width="20.13"/>
    <col customWidth="1" min="17" max="17" width="20.25"/>
  </cols>
  <sheetData>
    <row r="1">
      <c r="A1" s="1" t="s">
        <v>1</v>
      </c>
      <c r="B1" s="1" t="s">
        <v>2</v>
      </c>
      <c r="C1" s="1" t="s">
        <v>3</v>
      </c>
      <c r="D1" s="4" t="s">
        <v>4</v>
      </c>
      <c r="E1" s="4"/>
      <c r="F1" s="1" t="s">
        <v>5</v>
      </c>
      <c r="G1" s="4" t="s">
        <v>42</v>
      </c>
      <c r="H1" s="3" t="s">
        <v>43</v>
      </c>
      <c r="I1" s="3" t="s">
        <v>44</v>
      </c>
      <c r="J1" s="6"/>
      <c r="K1" s="6"/>
      <c r="L1" s="29" t="s">
        <v>177</v>
      </c>
      <c r="M1" s="6"/>
      <c r="N1" s="6"/>
      <c r="O1" s="6"/>
      <c r="P1" s="6"/>
      <c r="Q1" s="6"/>
      <c r="R1" s="6"/>
    </row>
    <row r="2">
      <c r="A2" s="3">
        <v>1.0</v>
      </c>
      <c r="B2" s="1" t="s">
        <v>178</v>
      </c>
      <c r="C2" s="1" t="s">
        <v>179</v>
      </c>
      <c r="D2" s="3">
        <v>75.0</v>
      </c>
      <c r="E2" s="3" t="str">
        <f t="shared" ref="E2:E8" si="1">C2&amp;" "&amp;B2&amp;" "&amp;D2</f>
        <v>Błażej Kosmalski 75</v>
      </c>
      <c r="F2" s="1" t="s">
        <v>88</v>
      </c>
      <c r="G2" s="3">
        <v>7.746</v>
      </c>
      <c r="H2" s="3">
        <v>7.588</v>
      </c>
      <c r="I2" s="30">
        <f t="shared" ref="I2:I8" si="2">MIN(G2:H2)</f>
        <v>7.588</v>
      </c>
      <c r="J2" s="6"/>
      <c r="K2" s="6"/>
      <c r="L2" s="6"/>
      <c r="M2" s="6"/>
      <c r="N2" s="6"/>
      <c r="O2" s="6"/>
      <c r="P2" s="6"/>
      <c r="Q2" s="6"/>
      <c r="R2" s="6"/>
    </row>
    <row r="3">
      <c r="A3" s="3">
        <v>2.0</v>
      </c>
      <c r="B3" s="1" t="s">
        <v>150</v>
      </c>
      <c r="C3" s="1" t="s">
        <v>142</v>
      </c>
      <c r="D3" s="3">
        <v>86.0</v>
      </c>
      <c r="E3" s="3" t="str">
        <f t="shared" si="1"/>
        <v>Szymon Dąbrowski 86</v>
      </c>
      <c r="F3" s="1" t="s">
        <v>72</v>
      </c>
      <c r="G3" s="3">
        <v>8.63</v>
      </c>
      <c r="H3" s="3">
        <v>8.23</v>
      </c>
      <c r="I3" s="30">
        <f t="shared" si="2"/>
        <v>8.23</v>
      </c>
      <c r="J3" s="6"/>
      <c r="K3" s="6"/>
      <c r="L3" s="6"/>
      <c r="M3" s="6"/>
      <c r="N3" s="6"/>
      <c r="O3" s="6"/>
      <c r="P3" s="6"/>
      <c r="Q3" s="6"/>
      <c r="R3" s="6"/>
    </row>
    <row r="4">
      <c r="A4" s="3">
        <v>3.0</v>
      </c>
      <c r="B4" s="1" t="s">
        <v>180</v>
      </c>
      <c r="C4" s="1" t="s">
        <v>181</v>
      </c>
      <c r="D4" s="3">
        <v>73.0</v>
      </c>
      <c r="E4" s="3" t="str">
        <f t="shared" si="1"/>
        <v>Oskar Szalecki 73</v>
      </c>
      <c r="F4" s="1" t="s">
        <v>9</v>
      </c>
      <c r="G4" s="3">
        <v>8.429</v>
      </c>
      <c r="H4" s="3">
        <v>10.234</v>
      </c>
      <c r="I4" s="30">
        <f t="shared" si="2"/>
        <v>8.429</v>
      </c>
      <c r="J4" s="6"/>
      <c r="K4" s="6"/>
      <c r="L4" s="45" t="str">
        <f>E2</f>
        <v>Błażej Kosmalski 75</v>
      </c>
      <c r="M4" s="46">
        <v>7.873</v>
      </c>
      <c r="N4" s="42"/>
      <c r="O4" s="42"/>
      <c r="P4" s="42"/>
      <c r="Q4" s="42"/>
      <c r="R4" s="1"/>
    </row>
    <row r="5">
      <c r="A5" s="15">
        <v>4.0</v>
      </c>
      <c r="B5" s="16" t="s">
        <v>182</v>
      </c>
      <c r="C5" s="16" t="s">
        <v>183</v>
      </c>
      <c r="D5" s="15">
        <v>77.0</v>
      </c>
      <c r="E5" s="15" t="str">
        <f t="shared" si="1"/>
        <v>Jerzy Panenka 77</v>
      </c>
      <c r="F5" s="16" t="s">
        <v>184</v>
      </c>
      <c r="G5" s="15">
        <v>8.749</v>
      </c>
      <c r="H5" s="15">
        <v>10.276</v>
      </c>
      <c r="I5" s="39">
        <f t="shared" si="2"/>
        <v>8.749</v>
      </c>
      <c r="J5" s="15" t="s">
        <v>67</v>
      </c>
      <c r="K5" s="6"/>
      <c r="L5" s="47"/>
      <c r="M5" s="48"/>
      <c r="N5" s="49"/>
      <c r="O5" s="41" t="s">
        <v>58</v>
      </c>
      <c r="P5" s="41"/>
      <c r="Q5" s="42"/>
      <c r="R5" s="6"/>
    </row>
    <row r="6">
      <c r="A6" s="3">
        <v>5.0</v>
      </c>
      <c r="B6" s="1" t="s">
        <v>185</v>
      </c>
      <c r="C6" s="1" t="s">
        <v>186</v>
      </c>
      <c r="D6" s="3">
        <v>66.0</v>
      </c>
      <c r="E6" s="3" t="str">
        <f t="shared" si="1"/>
        <v>Patryk Ruzicki 66</v>
      </c>
      <c r="F6" s="1" t="s">
        <v>88</v>
      </c>
      <c r="G6" s="3">
        <v>10.058</v>
      </c>
      <c r="H6" s="3">
        <v>10.402</v>
      </c>
      <c r="I6" s="30">
        <f t="shared" si="2"/>
        <v>10.058</v>
      </c>
      <c r="J6" s="6"/>
      <c r="K6" s="6"/>
      <c r="L6" s="51" t="str">
        <f>E5</f>
        <v>Jerzy Panenka 77</v>
      </c>
      <c r="M6" s="52">
        <v>9.184</v>
      </c>
      <c r="N6" s="43"/>
      <c r="O6" s="53" t="str">
        <f>Ifs(M4&gt;M6,L6,M6&gt;M4,L4)</f>
        <v>Błażej Kosmalski 75</v>
      </c>
      <c r="P6" s="52">
        <v>7.527</v>
      </c>
      <c r="Q6" s="54" t="s">
        <v>61</v>
      </c>
      <c r="R6" s="1"/>
    </row>
    <row r="7">
      <c r="A7" s="3">
        <v>6.0</v>
      </c>
      <c r="B7" s="1" t="s">
        <v>187</v>
      </c>
      <c r="C7" s="1" t="s">
        <v>104</v>
      </c>
      <c r="D7" s="3">
        <v>82.0</v>
      </c>
      <c r="E7" s="3" t="str">
        <f t="shared" si="1"/>
        <v>Antoni Bąbel 82</v>
      </c>
      <c r="F7" s="1" t="s">
        <v>118</v>
      </c>
      <c r="G7" s="3">
        <v>12.789</v>
      </c>
      <c r="H7" s="3">
        <v>12.622</v>
      </c>
      <c r="I7" s="30">
        <f t="shared" si="2"/>
        <v>12.622</v>
      </c>
      <c r="J7" s="6"/>
      <c r="K7" s="6"/>
      <c r="L7" s="55" t="s">
        <v>38</v>
      </c>
      <c r="M7" s="55"/>
      <c r="N7" s="42"/>
      <c r="O7" s="41"/>
      <c r="P7" s="56"/>
      <c r="Q7" s="57" t="str">
        <f>ifs(P8&gt;P6,O6,P6&gt;P8,O8)</f>
        <v>Błażej Kosmalski 75</v>
      </c>
      <c r="R7" s="6"/>
    </row>
    <row r="8">
      <c r="A8" s="3">
        <v>7.0</v>
      </c>
      <c r="B8" s="1" t="s">
        <v>188</v>
      </c>
      <c r="C8" s="1" t="s">
        <v>98</v>
      </c>
      <c r="D8" s="3">
        <v>99.0</v>
      </c>
      <c r="E8" s="3" t="str">
        <f t="shared" si="1"/>
        <v>Krzysztof Rymek 99</v>
      </c>
      <c r="F8" s="1" t="s">
        <v>60</v>
      </c>
      <c r="G8" s="3">
        <v>16.216</v>
      </c>
      <c r="H8" s="3">
        <v>17.596</v>
      </c>
      <c r="I8" s="30">
        <f t="shared" si="2"/>
        <v>16.216</v>
      </c>
      <c r="J8" s="6"/>
      <c r="K8" s="6"/>
      <c r="L8" s="51" t="str">
        <f>E3</f>
        <v>Szymon Dąbrowski 86</v>
      </c>
      <c r="M8" s="52">
        <v>1000.0</v>
      </c>
      <c r="N8" s="43"/>
      <c r="O8" s="58" t="str">
        <f>ifs(M8&gt;M10,L10,M10&gt;M8,L8)</f>
        <v>Oskar Szalecki 73</v>
      </c>
      <c r="P8" s="52">
        <v>1000.0</v>
      </c>
      <c r="Q8" s="54" t="s">
        <v>68</v>
      </c>
      <c r="R8" s="6"/>
    </row>
    <row r="9">
      <c r="A9" s="3"/>
      <c r="B9" s="6"/>
      <c r="C9" s="6"/>
      <c r="D9" s="6"/>
      <c r="E9" s="6"/>
      <c r="F9" s="6"/>
      <c r="G9" s="62"/>
      <c r="H9" s="6"/>
      <c r="I9" s="6"/>
      <c r="J9" s="6"/>
      <c r="K9" s="6"/>
      <c r="L9" s="59"/>
      <c r="M9" s="60"/>
      <c r="N9" s="42"/>
      <c r="O9" s="42"/>
      <c r="P9" s="61"/>
      <c r="Q9" s="57" t="str">
        <f>ifs(P6&gt;P8,O6,P8&gt;P6,O8)</f>
        <v>Oskar Szalecki 73</v>
      </c>
      <c r="R9" s="6"/>
    </row>
    <row r="1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51" t="str">
        <f>E4</f>
        <v>Oskar Szalecki 73</v>
      </c>
      <c r="M10" s="52">
        <v>6.657</v>
      </c>
      <c r="N10" s="42"/>
      <c r="O10" s="63"/>
      <c r="P10" s="42"/>
      <c r="Q10" s="42"/>
      <c r="R10" s="1"/>
    </row>
    <row r="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2"/>
      <c r="O11" s="41" t="s">
        <v>75</v>
      </c>
      <c r="P11" s="41"/>
      <c r="Q11" s="42"/>
      <c r="R11" s="6"/>
    </row>
    <row r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3"/>
      <c r="O12" s="58" t="str">
        <f>IFS(M4&gt;M6,L4,M6&gt;M4,L6)</f>
        <v>Jerzy Panenka 77</v>
      </c>
      <c r="P12" s="52">
        <v>8.465</v>
      </c>
      <c r="Q12" s="54" t="s">
        <v>78</v>
      </c>
      <c r="R12" s="1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2"/>
      <c r="O13" s="41"/>
      <c r="P13" s="56"/>
      <c r="Q13" s="57" t="str">
        <f>ifs(P14&gt;P12,O12,P12&gt;P14,O14)</f>
        <v>Szymon Dąbrowski 86</v>
      </c>
      <c r="R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3"/>
      <c r="O14" s="58" t="str">
        <f>IFS(M8&gt;M10,L8,M10&gt;M8,L10)</f>
        <v>Szymon Dąbrowski 86</v>
      </c>
      <c r="P14" s="52">
        <v>8.404</v>
      </c>
      <c r="Q14" s="54" t="s">
        <v>83</v>
      </c>
      <c r="R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42"/>
      <c r="M15" s="42"/>
      <c r="N15" s="42"/>
      <c r="O15" s="42"/>
      <c r="P15" s="61"/>
      <c r="Q15" s="57" t="str">
        <f>ifs(P12&gt;P14,O12,P14&gt;P12,O14)</f>
        <v>Jerzy Panenka 77</v>
      </c>
      <c r="R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</sheetData>
  <printOptions/>
  <pageMargins bottom="0.75" footer="0.0" header="0.0" left="0.7" right="0.7" top="0.75"/>
  <pageSetup fitToHeight="0" paperSize="9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.25"/>
    <col customWidth="1" min="2" max="2" width="10.25"/>
    <col customWidth="1" min="3" max="4" width="9.88"/>
    <col customWidth="1" hidden="1" min="5" max="5" width="24.13"/>
    <col customWidth="1" min="6" max="6" width="40.75"/>
    <col customWidth="1" min="7" max="7" width="10.38"/>
    <col customWidth="1" min="8" max="8" width="9.75"/>
    <col customWidth="1" min="9" max="9" width="10.38"/>
    <col customWidth="1" min="10" max="10" width="6.5"/>
    <col customWidth="1" min="11" max="11" width="5.5"/>
    <col customWidth="1" min="12" max="12" width="21.13"/>
    <col customWidth="1" min="13" max="13" width="10.0"/>
    <col customWidth="1" min="14" max="14" width="22.63"/>
    <col customWidth="1" min="15" max="15" width="10.5"/>
    <col customWidth="1" min="16" max="16" width="23.0"/>
    <col customWidth="1" min="17" max="17" width="11.25"/>
    <col customWidth="1" min="18" max="18" width="5.75"/>
    <col customWidth="1" min="19" max="19" width="19.0"/>
    <col customWidth="1" min="21" max="21" width="23.63"/>
  </cols>
  <sheetData>
    <row r="1">
      <c r="A1" s="1" t="s">
        <v>1</v>
      </c>
      <c r="B1" s="1" t="s">
        <v>2</v>
      </c>
      <c r="C1" s="1" t="s">
        <v>3</v>
      </c>
      <c r="D1" s="4" t="s">
        <v>4</v>
      </c>
      <c r="E1" s="4"/>
      <c r="F1" s="1" t="s">
        <v>5</v>
      </c>
      <c r="G1" s="4" t="s">
        <v>42</v>
      </c>
      <c r="H1" s="3" t="s">
        <v>43</v>
      </c>
      <c r="I1" s="3" t="s">
        <v>44</v>
      </c>
      <c r="J1" s="6"/>
      <c r="K1" s="64"/>
      <c r="L1" s="29" t="s">
        <v>189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>
      <c r="A2" s="3">
        <v>1.0</v>
      </c>
      <c r="B2" s="1" t="s">
        <v>190</v>
      </c>
      <c r="C2" s="1" t="s">
        <v>66</v>
      </c>
      <c r="D2" s="3">
        <v>94.0</v>
      </c>
      <c r="E2" s="3" t="str">
        <f t="shared" ref="E2:E20" si="1">C2&amp;" "&amp;B2&amp;" "&amp;D2</f>
        <v>Aleksandra Mirosław 94</v>
      </c>
      <c r="F2" s="1" t="s">
        <v>191</v>
      </c>
      <c r="G2" s="3">
        <v>6.784</v>
      </c>
      <c r="H2" s="3">
        <v>6.915</v>
      </c>
      <c r="I2" s="30">
        <f t="shared" ref="I2:I20" si="2">MIN(G2:H2)</f>
        <v>6.784</v>
      </c>
      <c r="J2" s="6"/>
      <c r="K2" s="6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3">
        <v>2.0</v>
      </c>
      <c r="B3" s="1" t="s">
        <v>192</v>
      </c>
      <c r="C3" s="1" t="s">
        <v>125</v>
      </c>
      <c r="D3" s="3">
        <v>69.0</v>
      </c>
      <c r="E3" s="3" t="str">
        <f t="shared" si="1"/>
        <v>Natalia Kałucka 69</v>
      </c>
      <c r="F3" s="1" t="s">
        <v>9</v>
      </c>
      <c r="G3" s="3">
        <v>7.162</v>
      </c>
      <c r="H3" s="3">
        <v>6.885</v>
      </c>
      <c r="I3" s="30">
        <f t="shared" si="2"/>
        <v>6.885</v>
      </c>
      <c r="J3" s="6"/>
      <c r="K3" s="64"/>
      <c r="L3" s="13" t="str">
        <f>E2</f>
        <v>Aleksandra Mirosław 94</v>
      </c>
      <c r="M3" s="65">
        <v>7.361</v>
      </c>
      <c r="N3" s="66"/>
      <c r="O3" s="7"/>
      <c r="V3" s="6"/>
      <c r="W3" s="6"/>
      <c r="X3" s="6"/>
      <c r="Y3" s="6"/>
    </row>
    <row r="4">
      <c r="A4" s="3">
        <v>3.0</v>
      </c>
      <c r="B4" s="1" t="s">
        <v>192</v>
      </c>
      <c r="C4" s="1" t="s">
        <v>66</v>
      </c>
      <c r="D4" s="3">
        <v>68.0</v>
      </c>
      <c r="E4" s="3" t="str">
        <f t="shared" si="1"/>
        <v>Aleksandra Kałucka 68</v>
      </c>
      <c r="F4" s="1" t="s">
        <v>9</v>
      </c>
      <c r="G4" s="3">
        <v>7.947</v>
      </c>
      <c r="H4" s="3">
        <v>7.207</v>
      </c>
      <c r="I4" s="30">
        <f t="shared" si="2"/>
        <v>7.207</v>
      </c>
      <c r="J4" s="6"/>
      <c r="K4" s="64"/>
      <c r="L4" s="66"/>
      <c r="M4" s="67"/>
      <c r="N4" s="12" t="str">
        <f>IFS(M3&gt;M5,L5,M5&gt;M3,L3)</f>
        <v>Aleksandra Mirosław 94</v>
      </c>
      <c r="O4" s="68">
        <v>7.606</v>
      </c>
      <c r="V4" s="6"/>
      <c r="W4" s="6"/>
      <c r="X4" s="6"/>
      <c r="Y4" s="6"/>
    </row>
    <row r="5">
      <c r="A5" s="3">
        <v>4.0</v>
      </c>
      <c r="B5" s="1" t="s">
        <v>193</v>
      </c>
      <c r="C5" s="1" t="s">
        <v>131</v>
      </c>
      <c r="D5" s="3">
        <v>61.0</v>
      </c>
      <c r="E5" s="3" t="str">
        <f t="shared" si="1"/>
        <v>Anna Brożek 61</v>
      </c>
      <c r="F5" s="1" t="s">
        <v>9</v>
      </c>
      <c r="G5" s="3">
        <v>8.84</v>
      </c>
      <c r="H5" s="3">
        <v>7.854</v>
      </c>
      <c r="I5" s="30">
        <f t="shared" si="2"/>
        <v>7.854</v>
      </c>
      <c r="J5" s="6"/>
      <c r="K5" s="64"/>
      <c r="L5" s="69" t="str">
        <f>E17</f>
        <v>Amelia Mazur 34</v>
      </c>
      <c r="M5" s="65">
        <v>11.878</v>
      </c>
      <c r="N5" s="7"/>
      <c r="O5" s="67"/>
      <c r="V5" s="6"/>
      <c r="W5" s="6"/>
      <c r="X5" s="6"/>
      <c r="Y5" s="6"/>
    </row>
    <row r="6">
      <c r="A6" s="3">
        <v>5.0</v>
      </c>
      <c r="B6" s="1" t="s">
        <v>194</v>
      </c>
      <c r="C6" s="1" t="s">
        <v>195</v>
      </c>
      <c r="D6" s="3">
        <v>65.0</v>
      </c>
      <c r="E6" s="3" t="str">
        <f t="shared" si="1"/>
        <v>Patrycja Chudziak 65</v>
      </c>
      <c r="F6" s="3" t="s">
        <v>15</v>
      </c>
      <c r="G6" s="3">
        <v>8.1</v>
      </c>
      <c r="H6" s="3">
        <v>8.196</v>
      </c>
      <c r="I6" s="30">
        <f t="shared" si="2"/>
        <v>8.1</v>
      </c>
      <c r="J6" s="6"/>
      <c r="K6" s="64"/>
      <c r="L6" s="66"/>
      <c r="M6" s="7"/>
      <c r="N6" s="7"/>
      <c r="O6" s="7"/>
      <c r="P6" s="12" t="str">
        <f>IFS(O4&gt;O8,N8,O8&gt;O4,N4)</f>
        <v>Aleksandra Mirosław 94</v>
      </c>
      <c r="Q6" s="10">
        <v>6.933</v>
      </c>
      <c r="V6" s="6"/>
      <c r="W6" s="6"/>
      <c r="X6" s="6"/>
      <c r="Y6" s="6"/>
    </row>
    <row r="7">
      <c r="A7" s="3">
        <v>6.0</v>
      </c>
      <c r="B7" s="1" t="s">
        <v>168</v>
      </c>
      <c r="C7" s="1" t="s">
        <v>63</v>
      </c>
      <c r="D7" s="3">
        <v>58.0</v>
      </c>
      <c r="E7" s="3" t="str">
        <f t="shared" si="1"/>
        <v>Daria Marciniak 58</v>
      </c>
      <c r="F7" s="1" t="s">
        <v>88</v>
      </c>
      <c r="G7" s="3">
        <v>8.827</v>
      </c>
      <c r="H7" s="70">
        <v>9.028</v>
      </c>
      <c r="I7" s="30">
        <f t="shared" si="2"/>
        <v>8.827</v>
      </c>
      <c r="J7" s="6"/>
      <c r="K7" s="64"/>
      <c r="L7" s="69" t="str">
        <f>E9</f>
        <v>Maria Szwed 54</v>
      </c>
      <c r="M7" s="68">
        <v>1000.0</v>
      </c>
      <c r="N7" s="66" t="s">
        <v>38</v>
      </c>
      <c r="O7" s="67"/>
      <c r="V7" s="6"/>
      <c r="W7" s="6"/>
      <c r="X7" s="6"/>
      <c r="Y7" s="6"/>
    </row>
    <row r="8">
      <c r="A8" s="3">
        <v>7.0</v>
      </c>
      <c r="B8" s="7" t="s">
        <v>63</v>
      </c>
      <c r="C8" s="7" t="s">
        <v>196</v>
      </c>
      <c r="D8" s="3">
        <v>71.0</v>
      </c>
      <c r="E8" s="3" t="str">
        <f t="shared" si="1"/>
        <v>Tkachova Daria 71</v>
      </c>
      <c r="F8" s="7" t="s">
        <v>197</v>
      </c>
      <c r="G8" s="3">
        <v>9.109</v>
      </c>
      <c r="H8" s="3">
        <v>8.879</v>
      </c>
      <c r="I8" s="30">
        <f t="shared" si="2"/>
        <v>8.879</v>
      </c>
      <c r="J8" s="6"/>
      <c r="K8" s="64"/>
      <c r="L8" s="66"/>
      <c r="M8" s="67"/>
      <c r="N8" s="12" t="str">
        <f>IFS(M7&gt;M9,L9,M9&gt;M7,L7)</f>
        <v>Agata Lesiewicz 57</v>
      </c>
      <c r="O8" s="68">
        <v>9.485</v>
      </c>
      <c r="V8" s="6"/>
      <c r="W8" s="6"/>
      <c r="X8" s="6"/>
      <c r="Y8" s="6"/>
    </row>
    <row r="9">
      <c r="A9" s="3">
        <v>8.0</v>
      </c>
      <c r="B9" s="1" t="s">
        <v>198</v>
      </c>
      <c r="C9" s="1" t="s">
        <v>199</v>
      </c>
      <c r="D9" s="3">
        <v>54.0</v>
      </c>
      <c r="E9" s="3" t="str">
        <f t="shared" si="1"/>
        <v>Maria Szwed 54</v>
      </c>
      <c r="F9" s="1" t="s">
        <v>28</v>
      </c>
      <c r="G9" s="3">
        <v>9.233</v>
      </c>
      <c r="H9" s="3">
        <v>1000.0</v>
      </c>
      <c r="I9" s="30">
        <f t="shared" si="2"/>
        <v>9.233</v>
      </c>
      <c r="J9" s="6"/>
      <c r="K9" s="64"/>
      <c r="L9" s="69" t="str">
        <f>E10</f>
        <v>Agata Lesiewicz 57</v>
      </c>
      <c r="M9" s="68">
        <v>11.559</v>
      </c>
      <c r="N9" s="7"/>
      <c r="O9" s="7"/>
      <c r="V9" s="6"/>
      <c r="W9" s="6"/>
      <c r="X9" s="6"/>
      <c r="Y9" s="6"/>
    </row>
    <row r="10">
      <c r="A10" s="3">
        <v>9.0</v>
      </c>
      <c r="B10" s="1" t="s">
        <v>200</v>
      </c>
      <c r="C10" s="1" t="s">
        <v>201</v>
      </c>
      <c r="D10" s="3">
        <v>57.0</v>
      </c>
      <c r="E10" s="3" t="str">
        <f t="shared" si="1"/>
        <v>Agata Lesiewicz 57</v>
      </c>
      <c r="F10" s="1" t="s">
        <v>28</v>
      </c>
      <c r="G10" s="3">
        <v>11.112</v>
      </c>
      <c r="H10" s="3">
        <v>9.28</v>
      </c>
      <c r="I10" s="30">
        <f t="shared" si="2"/>
        <v>9.28</v>
      </c>
      <c r="J10" s="6"/>
      <c r="K10" s="64"/>
      <c r="L10" s="66"/>
      <c r="M10" s="7"/>
      <c r="N10" s="7"/>
      <c r="O10" s="7"/>
      <c r="R10" s="8"/>
      <c r="V10" s="6"/>
      <c r="W10" s="6"/>
      <c r="X10" s="6"/>
      <c r="Y10" s="6"/>
    </row>
    <row r="11">
      <c r="A11" s="3">
        <v>10.0</v>
      </c>
      <c r="B11" s="1" t="s">
        <v>169</v>
      </c>
      <c r="C11" s="1" t="s">
        <v>133</v>
      </c>
      <c r="D11" s="3">
        <v>38.0</v>
      </c>
      <c r="E11" s="3" t="str">
        <f t="shared" si="1"/>
        <v>Magdalena Blachnicka 38</v>
      </c>
      <c r="F11" s="1" t="s">
        <v>47</v>
      </c>
      <c r="G11" s="3">
        <v>9.505</v>
      </c>
      <c r="H11" s="3">
        <v>9.488</v>
      </c>
      <c r="I11" s="30">
        <f t="shared" si="2"/>
        <v>9.488</v>
      </c>
      <c r="J11" s="6"/>
      <c r="K11" s="64"/>
      <c r="L11" s="69" t="str">
        <f>E5</f>
        <v>Anna Brożek 61</v>
      </c>
      <c r="M11" s="68">
        <v>7.729</v>
      </c>
      <c r="N11" s="66"/>
      <c r="O11" s="7"/>
      <c r="V11" s="6"/>
      <c r="W11" s="6"/>
      <c r="X11" s="6"/>
      <c r="Y11" s="6"/>
    </row>
    <row r="12">
      <c r="A12" s="3">
        <v>11.0</v>
      </c>
      <c r="B12" s="1" t="s">
        <v>170</v>
      </c>
      <c r="C12" s="1" t="s">
        <v>171</v>
      </c>
      <c r="D12" s="3">
        <v>32.0</v>
      </c>
      <c r="E12" s="3" t="str">
        <f t="shared" si="1"/>
        <v>Arlena Sznajder 32</v>
      </c>
      <c r="F12" s="1" t="s">
        <v>22</v>
      </c>
      <c r="G12" s="1">
        <v>11.587</v>
      </c>
      <c r="H12" s="1">
        <v>9.723</v>
      </c>
      <c r="I12" s="30">
        <f t="shared" si="2"/>
        <v>9.723</v>
      </c>
      <c r="J12" s="6"/>
      <c r="K12" s="64"/>
      <c r="L12" s="66"/>
      <c r="M12" s="67"/>
      <c r="N12" s="12" t="str">
        <f>IFS(M11&gt;M13,L13,M13&gt;M11,L11)</f>
        <v>Anna Brożek 61</v>
      </c>
      <c r="O12" s="68">
        <v>7.625</v>
      </c>
      <c r="V12" s="6"/>
      <c r="W12" s="6"/>
      <c r="X12" s="6"/>
      <c r="Y12" s="6"/>
    </row>
    <row r="13">
      <c r="A13" s="3">
        <v>12.0</v>
      </c>
      <c r="B13" s="1" t="s">
        <v>139</v>
      </c>
      <c r="C13" s="1" t="s">
        <v>63</v>
      </c>
      <c r="D13" s="3">
        <v>95.0</v>
      </c>
      <c r="E13" s="3" t="str">
        <f t="shared" si="1"/>
        <v>Daria Nawój 95</v>
      </c>
      <c r="F13" s="1" t="s">
        <v>12</v>
      </c>
      <c r="G13" s="3">
        <v>10.616</v>
      </c>
      <c r="H13" s="3">
        <v>10.06</v>
      </c>
      <c r="I13" s="30">
        <f t="shared" si="2"/>
        <v>10.06</v>
      </c>
      <c r="J13" s="6"/>
      <c r="K13" s="64"/>
      <c r="L13" s="69" t="str">
        <f>E14</f>
        <v>Natalia Woś 56</v>
      </c>
      <c r="M13" s="68">
        <v>1000.0</v>
      </c>
      <c r="N13" s="7"/>
      <c r="O13" s="67"/>
      <c r="P13" s="8" t="s">
        <v>38</v>
      </c>
      <c r="S13" s="71" t="s">
        <v>58</v>
      </c>
      <c r="V13" s="6"/>
      <c r="W13" s="6"/>
      <c r="X13" s="6"/>
      <c r="Y13" s="6"/>
    </row>
    <row r="14">
      <c r="A14" s="3">
        <v>13.0</v>
      </c>
      <c r="B14" s="1" t="s">
        <v>202</v>
      </c>
      <c r="C14" s="1" t="s">
        <v>125</v>
      </c>
      <c r="D14" s="3">
        <v>56.0</v>
      </c>
      <c r="E14" s="3" t="str">
        <f t="shared" si="1"/>
        <v>Natalia Woś 56</v>
      </c>
      <c r="F14" s="1" t="s">
        <v>28</v>
      </c>
      <c r="G14" s="3">
        <v>10.304</v>
      </c>
      <c r="H14" s="3">
        <v>11.178</v>
      </c>
      <c r="I14" s="30">
        <f t="shared" si="2"/>
        <v>10.304</v>
      </c>
      <c r="J14" s="6"/>
      <c r="K14" s="64"/>
      <c r="L14" s="66"/>
      <c r="M14" s="7"/>
      <c r="N14" s="7"/>
      <c r="O14" s="7"/>
      <c r="P14" s="12" t="str">
        <f>IFS(O12&gt;O16,N16,O16&gt;O12,N12)</f>
        <v>Anna Brożek 61</v>
      </c>
      <c r="Q14" s="10">
        <v>9.452</v>
      </c>
      <c r="R14" s="8"/>
      <c r="S14" s="13" t="str">
        <f>Ifs(Q6&gt;Q14,P14,Q14&gt;Q6,P6)</f>
        <v>Aleksandra Mirosław 94</v>
      </c>
      <c r="T14" s="10">
        <v>6.767</v>
      </c>
      <c r="U14" s="8" t="s">
        <v>61</v>
      </c>
      <c r="V14" s="6"/>
      <c r="W14" s="6"/>
      <c r="X14" s="6"/>
      <c r="Y14" s="6"/>
    </row>
    <row r="15">
      <c r="A15" s="3">
        <v>14.0</v>
      </c>
      <c r="B15" s="1" t="s">
        <v>156</v>
      </c>
      <c r="C15" s="1" t="s">
        <v>172</v>
      </c>
      <c r="D15" s="3">
        <v>60.0</v>
      </c>
      <c r="E15" s="3" t="str">
        <f t="shared" si="1"/>
        <v>Alicja Nowak 60</v>
      </c>
      <c r="F15" s="1" t="s">
        <v>9</v>
      </c>
      <c r="G15" s="1">
        <v>1000.0</v>
      </c>
      <c r="H15" s="6">
        <v>10.376</v>
      </c>
      <c r="I15" s="30">
        <f t="shared" si="2"/>
        <v>10.376</v>
      </c>
      <c r="J15" s="6"/>
      <c r="K15" s="64"/>
      <c r="L15" s="69" t="str">
        <f>E6</f>
        <v>Patrycja Chudziak 65</v>
      </c>
      <c r="M15" s="68">
        <v>7.791</v>
      </c>
      <c r="N15" s="66"/>
      <c r="O15" s="67"/>
      <c r="U15" s="14" t="str">
        <f>ifs(T16&gt;T14,S14,T14&gt;T16,S16)</f>
        <v>Aleksandra Mirosław 94</v>
      </c>
      <c r="V15" s="6"/>
      <c r="W15" s="6"/>
      <c r="X15" s="6"/>
      <c r="Y15" s="6"/>
    </row>
    <row r="16">
      <c r="A16" s="3">
        <v>15.0</v>
      </c>
      <c r="B16" s="1" t="s">
        <v>173</v>
      </c>
      <c r="C16" s="1" t="s">
        <v>174</v>
      </c>
      <c r="D16" s="3">
        <v>36.0</v>
      </c>
      <c r="E16" s="3" t="str">
        <f t="shared" si="1"/>
        <v>Olimpia Markisch 36</v>
      </c>
      <c r="F16" s="1" t="s">
        <v>22</v>
      </c>
      <c r="G16" s="1">
        <v>1000.0</v>
      </c>
      <c r="H16" s="1">
        <v>11.009</v>
      </c>
      <c r="I16" s="30">
        <f t="shared" si="2"/>
        <v>11.009</v>
      </c>
      <c r="J16" s="6"/>
      <c r="K16" s="64"/>
      <c r="L16" s="66"/>
      <c r="M16" s="67"/>
      <c r="N16" s="12" t="str">
        <f>IFS(M15&gt;M17,L17,M17&gt;M15,L15)</f>
        <v>Patrycja Chudziak 65</v>
      </c>
      <c r="O16" s="68">
        <v>7.68</v>
      </c>
      <c r="S16" s="13" t="str">
        <f>ifs(Q22&gt;Q30,P30,Q30&gt;Q22,P22)</f>
        <v>Natalia Kałucka 69</v>
      </c>
      <c r="T16" s="10">
        <v>1000.0</v>
      </c>
      <c r="U16" s="8" t="s">
        <v>68</v>
      </c>
      <c r="V16" s="6"/>
      <c r="W16" s="6"/>
      <c r="X16" s="6"/>
      <c r="Y16" s="6"/>
    </row>
    <row r="17">
      <c r="A17" s="15">
        <v>16.0</v>
      </c>
      <c r="B17" s="16" t="s">
        <v>121</v>
      </c>
      <c r="C17" s="16" t="s">
        <v>80</v>
      </c>
      <c r="D17" s="15">
        <v>34.0</v>
      </c>
      <c r="E17" s="15" t="str">
        <f t="shared" si="1"/>
        <v>Amelia Mazur 34</v>
      </c>
      <c r="F17" s="16" t="s">
        <v>22</v>
      </c>
      <c r="G17" s="15">
        <v>11.988</v>
      </c>
      <c r="H17" s="15">
        <v>11.176</v>
      </c>
      <c r="I17" s="39">
        <f t="shared" si="2"/>
        <v>11.176</v>
      </c>
      <c r="J17" s="15" t="s">
        <v>67</v>
      </c>
      <c r="K17" s="72"/>
      <c r="L17" s="69" t="str">
        <f>E13</f>
        <v>Daria Nawój 95</v>
      </c>
      <c r="M17" s="68">
        <v>10.07</v>
      </c>
      <c r="N17" s="7"/>
      <c r="O17" s="7"/>
      <c r="T17" s="8" t="s">
        <v>38</v>
      </c>
      <c r="U17" s="14" t="str">
        <f>ifs(T14&gt;T16,S14,T16&gt;T14,S16)</f>
        <v>Natalia Kałucka 69</v>
      </c>
      <c r="V17" s="6"/>
      <c r="W17" s="6"/>
      <c r="X17" s="6"/>
      <c r="Y17" s="6"/>
    </row>
    <row r="18">
      <c r="A18" s="3">
        <v>17.0</v>
      </c>
      <c r="B18" s="1" t="s">
        <v>122</v>
      </c>
      <c r="C18" s="1" t="s">
        <v>123</v>
      </c>
      <c r="D18" s="3">
        <v>33.0</v>
      </c>
      <c r="E18" s="3" t="str">
        <f t="shared" si="1"/>
        <v>Karolina Ptak 33</v>
      </c>
      <c r="F18" s="1" t="s">
        <v>22</v>
      </c>
      <c r="G18" s="3">
        <v>11.597</v>
      </c>
      <c r="H18" s="3">
        <v>12.422</v>
      </c>
      <c r="I18" s="30">
        <f t="shared" si="2"/>
        <v>11.597</v>
      </c>
      <c r="J18" s="6"/>
      <c r="K18" s="64"/>
      <c r="R18" s="8"/>
      <c r="V18" s="6"/>
      <c r="W18" s="6"/>
      <c r="X18" s="6"/>
      <c r="Y18" s="6"/>
    </row>
    <row r="19">
      <c r="A19" s="3">
        <v>18.0</v>
      </c>
      <c r="B19" s="1" t="s">
        <v>124</v>
      </c>
      <c r="C19" s="1" t="s">
        <v>125</v>
      </c>
      <c r="D19" s="3">
        <v>35.0</v>
      </c>
      <c r="E19" s="3" t="str">
        <f t="shared" si="1"/>
        <v>Natalia Włodarczyk 35</v>
      </c>
      <c r="F19" s="1" t="s">
        <v>22</v>
      </c>
      <c r="G19" s="3">
        <v>11.62</v>
      </c>
      <c r="H19" s="3">
        <v>12.911</v>
      </c>
      <c r="I19" s="30">
        <f t="shared" si="2"/>
        <v>11.62</v>
      </c>
      <c r="J19" s="6"/>
      <c r="K19" s="64"/>
      <c r="L19" s="13" t="str">
        <f>E3</f>
        <v>Natalia Kałucka 69</v>
      </c>
      <c r="M19" s="65">
        <v>7.902</v>
      </c>
      <c r="N19" s="66"/>
      <c r="O19" s="7"/>
      <c r="S19" s="71" t="s">
        <v>75</v>
      </c>
      <c r="V19" s="6"/>
      <c r="W19" s="6"/>
      <c r="X19" s="6"/>
      <c r="Y19" s="6"/>
    </row>
    <row r="20">
      <c r="A20" s="3">
        <v>19.0</v>
      </c>
      <c r="B20" s="1" t="s">
        <v>203</v>
      </c>
      <c r="C20" s="1" t="s">
        <v>204</v>
      </c>
      <c r="D20" s="3">
        <v>70.0</v>
      </c>
      <c r="E20" s="3" t="str">
        <f t="shared" si="1"/>
        <v>Bianka Janecka 70</v>
      </c>
      <c r="F20" s="1" t="s">
        <v>26</v>
      </c>
      <c r="G20" s="3">
        <v>11.78</v>
      </c>
      <c r="H20" s="3">
        <v>12.738</v>
      </c>
      <c r="I20" s="30">
        <f t="shared" si="2"/>
        <v>11.78</v>
      </c>
      <c r="J20" s="6"/>
      <c r="K20" s="64"/>
      <c r="L20" s="66"/>
      <c r="M20" s="67"/>
      <c r="N20" s="12" t="str">
        <f>IFS(M19&gt;M21,L21,M21&gt;M19,L19)</f>
        <v>Natalia Kałucka 69</v>
      </c>
      <c r="O20" s="68">
        <v>7.661</v>
      </c>
      <c r="S20" s="12" t="str">
        <f>IFS(Q6&gt;Q14,P6,Q14&gt;Q6,P14)</f>
        <v>Anna Brożek 61</v>
      </c>
      <c r="T20" s="10">
        <v>8.361</v>
      </c>
      <c r="U20" s="8" t="s">
        <v>78</v>
      </c>
      <c r="V20" s="6"/>
      <c r="W20" s="6"/>
      <c r="X20" s="6"/>
      <c r="Y20" s="6"/>
    </row>
    <row r="21">
      <c r="A21" s="3"/>
      <c r="J21" s="6"/>
      <c r="K21" s="64"/>
      <c r="L21" s="69" t="str">
        <f>E16</f>
        <v>Olimpia Markisch 36</v>
      </c>
      <c r="M21" s="65">
        <v>11.682</v>
      </c>
      <c r="N21" s="7"/>
      <c r="O21" s="67"/>
      <c r="U21" s="14" t="str">
        <f>ifs(T22&gt;T20,S20,T20&gt;T22,S22)</f>
        <v>Aleksandra Kałucka 68</v>
      </c>
      <c r="V21" s="6"/>
      <c r="W21" s="6"/>
      <c r="X21" s="6"/>
      <c r="Y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4"/>
      <c r="L22" s="66"/>
      <c r="M22" s="7"/>
      <c r="N22" s="7"/>
      <c r="O22" s="7"/>
      <c r="P22" s="12" t="str">
        <f>IFS(O20&gt;O24,N24,O24&gt;O20,N20)</f>
        <v>Natalia Kałucka 69</v>
      </c>
      <c r="Q22" s="10">
        <v>6.98</v>
      </c>
      <c r="R22" s="8"/>
      <c r="S22" s="13" t="str">
        <f>IFS(Q22&gt;Q30,P22,Q30&gt;Q22,P30)</f>
        <v>Aleksandra Kałucka 68</v>
      </c>
      <c r="T22" s="10">
        <v>7.393</v>
      </c>
      <c r="U22" s="8" t="s">
        <v>83</v>
      </c>
      <c r="V22" s="6"/>
      <c r="W22" s="6"/>
      <c r="X22" s="6"/>
      <c r="Y22" s="6"/>
    </row>
    <row r="23">
      <c r="A23" s="6"/>
      <c r="H23" s="6"/>
      <c r="I23" s="6"/>
      <c r="J23" s="6"/>
      <c r="K23" s="64"/>
      <c r="L23" s="69" t="str">
        <f>E8</f>
        <v>Tkachova Daria 71</v>
      </c>
      <c r="M23" s="68">
        <v>9.715</v>
      </c>
      <c r="N23" s="66" t="s">
        <v>38</v>
      </c>
      <c r="O23" s="67"/>
      <c r="U23" s="14" t="str">
        <f>ifs(T20&gt;T22,S20,T22&gt;T20,S22)</f>
        <v>Anna Brożek 61</v>
      </c>
      <c r="V23" s="6"/>
      <c r="W23" s="6"/>
      <c r="X23" s="6"/>
      <c r="Y23" s="6"/>
    </row>
    <row r="24">
      <c r="A24" s="6"/>
      <c r="H24" s="6"/>
      <c r="I24" s="6"/>
      <c r="J24" s="6"/>
      <c r="K24" s="64"/>
      <c r="L24" s="66"/>
      <c r="M24" s="67"/>
      <c r="N24" s="12" t="str">
        <f>IFS(M23&gt;M25,L25,M25&gt;M23,L23)</f>
        <v>Magdalena Blachnicka 38</v>
      </c>
      <c r="O24" s="68">
        <v>10.743</v>
      </c>
      <c r="V24" s="6"/>
      <c r="W24" s="6"/>
      <c r="X24" s="6"/>
      <c r="Y24" s="6"/>
    </row>
    <row r="25">
      <c r="A25" s="6"/>
      <c r="H25" s="6"/>
      <c r="I25" s="6"/>
      <c r="J25" s="6"/>
      <c r="K25" s="64"/>
      <c r="L25" s="69" t="str">
        <f>E11</f>
        <v>Magdalena Blachnicka 38</v>
      </c>
      <c r="M25" s="68">
        <v>9.165</v>
      </c>
      <c r="N25" s="7"/>
      <c r="O25" s="7"/>
      <c r="V25" s="6"/>
      <c r="W25" s="6"/>
      <c r="X25" s="6"/>
      <c r="Y25" s="6"/>
    </row>
    <row r="26">
      <c r="A26" s="6"/>
      <c r="H26" s="6"/>
      <c r="I26" s="6"/>
      <c r="J26" s="6"/>
      <c r="K26" s="64"/>
      <c r="L26" s="66"/>
      <c r="M26" s="7"/>
      <c r="N26" s="7"/>
      <c r="O26" s="7"/>
      <c r="V26" s="6"/>
      <c r="W26" s="6"/>
      <c r="X26" s="6"/>
      <c r="Y26" s="6"/>
    </row>
    <row r="27">
      <c r="A27" s="6"/>
      <c r="H27" s="6"/>
      <c r="I27" s="6"/>
      <c r="J27" s="6"/>
      <c r="K27" s="64"/>
      <c r="L27" s="69" t="str">
        <f>E4</f>
        <v>Aleksandra Kałucka 68</v>
      </c>
      <c r="M27" s="68">
        <v>7.639</v>
      </c>
      <c r="N27" s="66"/>
      <c r="O27" s="7"/>
      <c r="V27" s="6"/>
      <c r="W27" s="6"/>
      <c r="X27" s="6"/>
      <c r="Y27" s="6"/>
    </row>
    <row r="28">
      <c r="A28" s="6"/>
      <c r="H28" s="6"/>
      <c r="I28" s="6"/>
      <c r="J28" s="6"/>
      <c r="K28" s="64"/>
      <c r="L28" s="66"/>
      <c r="M28" s="67"/>
      <c r="N28" s="12" t="str">
        <f>IFS(M27&gt;M29,L29,M29&gt;M27,L27)</f>
        <v>Aleksandra Kałucka 68</v>
      </c>
      <c r="O28" s="68">
        <v>7.5</v>
      </c>
      <c r="V28" s="6"/>
      <c r="W28" s="6"/>
      <c r="X28" s="6"/>
      <c r="Y28" s="6"/>
    </row>
    <row r="29">
      <c r="A29" s="6"/>
      <c r="H29" s="6"/>
      <c r="I29" s="6"/>
      <c r="J29" s="6"/>
      <c r="K29" s="64"/>
      <c r="L29" s="69" t="str">
        <f>E15</f>
        <v>Alicja Nowak 60</v>
      </c>
      <c r="M29" s="68">
        <v>1000.0</v>
      </c>
      <c r="N29" s="7"/>
      <c r="O29" s="67"/>
      <c r="V29" s="6"/>
      <c r="W29" s="6"/>
      <c r="X29" s="6"/>
      <c r="Y29" s="6"/>
    </row>
    <row r="30">
      <c r="A30" s="6"/>
      <c r="H30" s="6"/>
      <c r="I30" s="6"/>
      <c r="J30" s="6"/>
      <c r="K30" s="64"/>
      <c r="L30" s="66"/>
      <c r="M30" s="7"/>
      <c r="N30" s="7"/>
      <c r="O30" s="7"/>
      <c r="P30" s="12" t="str">
        <f>IFS(O28&gt;O32,N32,O32&gt;O28,N28)</f>
        <v>Aleksandra Kałucka 68</v>
      </c>
      <c r="Q30" s="10">
        <v>7.274</v>
      </c>
      <c r="V30" s="6"/>
      <c r="W30" s="6"/>
      <c r="X30" s="6"/>
      <c r="Y30" s="6"/>
    </row>
    <row r="31">
      <c r="A31" s="6"/>
      <c r="H31" s="6"/>
      <c r="I31" s="6"/>
      <c r="J31" s="6"/>
      <c r="K31" s="64"/>
      <c r="L31" s="69" t="str">
        <f>E7</f>
        <v>Daria Marciniak 58</v>
      </c>
      <c r="M31" s="68">
        <v>8.9</v>
      </c>
      <c r="N31" s="66"/>
      <c r="O31" s="67"/>
      <c r="V31" s="6"/>
      <c r="W31" s="6"/>
      <c r="X31" s="6"/>
      <c r="Y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4"/>
      <c r="L32" s="66"/>
      <c r="M32" s="67"/>
      <c r="N32" s="12" t="str">
        <f>IFS(M31&gt;M33,L33,M33&gt;M31,L31)</f>
        <v>Daria Marciniak 58</v>
      </c>
      <c r="O32" s="68">
        <v>9.939</v>
      </c>
      <c r="V32" s="6"/>
      <c r="W32" s="6"/>
      <c r="X32" s="6"/>
      <c r="Y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4"/>
      <c r="L33" s="69" t="str">
        <f>E12</f>
        <v>Arlena Sznajder 32</v>
      </c>
      <c r="M33" s="68">
        <v>1000.0</v>
      </c>
      <c r="N33" s="7"/>
      <c r="O33" s="7"/>
      <c r="V33" s="6"/>
      <c r="W33" s="6"/>
      <c r="X33" s="6"/>
      <c r="Y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4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4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4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4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4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4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4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4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4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4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4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4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4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4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4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4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4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4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4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4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4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4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4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4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4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4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4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4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4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4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4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4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4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4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4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4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4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4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4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4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4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4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4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4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4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4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4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4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4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4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4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4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4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4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4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4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4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4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4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4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4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4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4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4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4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4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4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4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4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4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4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4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4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4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4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4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4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4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4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4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4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4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4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4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4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4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4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4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4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4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4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4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4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4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4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4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4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4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4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4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4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4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4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4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4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4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4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4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4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4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4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4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4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4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4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4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4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4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4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4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4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4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4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4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4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4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4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4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4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4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4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4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4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4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4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4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4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4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4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4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4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4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4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4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4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4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4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4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4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4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4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4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4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4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4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4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4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4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4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4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4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4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4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4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4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4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4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4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4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4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4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4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4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4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4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4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4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4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4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4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4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4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4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4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4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4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4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4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4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4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4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4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4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4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4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4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4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4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4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4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4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4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4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4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4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4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4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4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4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4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4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4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4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4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4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4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4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4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4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4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4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4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4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4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4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4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4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4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4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4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4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4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4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4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4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4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4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4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4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4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4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4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4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4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4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4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4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4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4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4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4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4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4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4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4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4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4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4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4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4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4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4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4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4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4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4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4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4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4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4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4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4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4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4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4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4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4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4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4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4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4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4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4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4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4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4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4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4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4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4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4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4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4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4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4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4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4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4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4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4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4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4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4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4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4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4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4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4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4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4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4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4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4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4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4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4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4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4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4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4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4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4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4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4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4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4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4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4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4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4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4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4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4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4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4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4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4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4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4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4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4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4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4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4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4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4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4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4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4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4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4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4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4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4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4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4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4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4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4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4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4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4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4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4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4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4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4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4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4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4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4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4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4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4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4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4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4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4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4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4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4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4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4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4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4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4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4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4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4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4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4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4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4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4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4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4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4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4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4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4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4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4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4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4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4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4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4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4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4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4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4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4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4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4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4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4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4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4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4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4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4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4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4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4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4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4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4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4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4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4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4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4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4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4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4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4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4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4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4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4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4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4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4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4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4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4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4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4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4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4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4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4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4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4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4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4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4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4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4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4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4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4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4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4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4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4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4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4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4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4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4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4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4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4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4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4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4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4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4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4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4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4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4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4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4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4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4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4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4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4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4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4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4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4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4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4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4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4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4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4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4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4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4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4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4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4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4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4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4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4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4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4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4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4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4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4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4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4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4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4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4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4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4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4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4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4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4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4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4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4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4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4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4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4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4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4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4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4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4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4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4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4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4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4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4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4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4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4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4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4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4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4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4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4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4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4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4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4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4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4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4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4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4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4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4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4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4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4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4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4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4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4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4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4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4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4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4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4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4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4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4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4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4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4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4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4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4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4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4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4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4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4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4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4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4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4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4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4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4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4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4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4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4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4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4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4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4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4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4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4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4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4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4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4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4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4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4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4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4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4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4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4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4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4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4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4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4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4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4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4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4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4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4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4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4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4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4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4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4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4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4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4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4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4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4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4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4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4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4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4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4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4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4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4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4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4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4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4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4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4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4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4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4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4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4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4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4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4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4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4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4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4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4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4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4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4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4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4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4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4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4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4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4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4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4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4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4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4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4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4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4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4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4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4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4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4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4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4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4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4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4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4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4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4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4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4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4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4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4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4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4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4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4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4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4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4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4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4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4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4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4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4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4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4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4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4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4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4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4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4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4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4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4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4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4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4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4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4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4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4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4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4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4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4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4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4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4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4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4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4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4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4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4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4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4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4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4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4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4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4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4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4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4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4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4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4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4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4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4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4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4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4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4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4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4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4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4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4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4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4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4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4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4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4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4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4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4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4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4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4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4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4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4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4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4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4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4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4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4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4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4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4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4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4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4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4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4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4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4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4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4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4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4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4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4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4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4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4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4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4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4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4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4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4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4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4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4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4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4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4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4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4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4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4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4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4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4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4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4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4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4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4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4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4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4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4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4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4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4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4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4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4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4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4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4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4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4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4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4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4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4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4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4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4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4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4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4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4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4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4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4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4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4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4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4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4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4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4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4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4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4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4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4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4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4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4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4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4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4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4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4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4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4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4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4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4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4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4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4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4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4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4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4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4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4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4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4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4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4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4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4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4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4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4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4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4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4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4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4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4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4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4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4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4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4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4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4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4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4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4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4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printOptions/>
  <pageMargins bottom="0.75" footer="0.0" header="0.0" left="0.7" right="0.7" top="0.75"/>
  <pageSetup fitToHeight="0" paperSize="9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.25"/>
    <col customWidth="1" min="2" max="2" width="10.63"/>
    <col customWidth="1" min="3" max="3" width="9.88"/>
    <col customWidth="1" min="4" max="4" width="9.5"/>
    <col customWidth="1" min="5" max="5" width="28.25"/>
    <col customWidth="1" min="6" max="6" width="40.75"/>
    <col customWidth="1" min="7" max="7" width="9.0"/>
    <col customWidth="1" min="8" max="8" width="8.63"/>
    <col customWidth="1" min="9" max="9" width="10.88"/>
    <col customWidth="1" min="10" max="10" width="6.75"/>
    <col customWidth="1" min="11" max="11" width="5.38"/>
    <col customWidth="1" min="12" max="12" width="21.25"/>
    <col customWidth="1" min="13" max="13" width="10.75"/>
    <col customWidth="1" min="14" max="14" width="19.63"/>
    <col customWidth="1" min="15" max="15" width="10.25"/>
    <col customWidth="1" min="16" max="16" width="21.88"/>
    <col customWidth="1" min="18" max="18" width="6.13"/>
    <col customWidth="1" min="19" max="19" width="19.88"/>
    <col customWidth="1" min="21" max="21" width="20.5"/>
  </cols>
  <sheetData>
    <row r="1">
      <c r="A1" s="1" t="s">
        <v>1</v>
      </c>
      <c r="B1" s="1" t="s">
        <v>2</v>
      </c>
      <c r="C1" s="1" t="s">
        <v>3</v>
      </c>
      <c r="D1" s="4" t="s">
        <v>4</v>
      </c>
      <c r="E1" s="4"/>
      <c r="F1" s="1" t="s">
        <v>5</v>
      </c>
      <c r="G1" s="4" t="s">
        <v>42</v>
      </c>
      <c r="H1" s="3" t="s">
        <v>43</v>
      </c>
      <c r="I1" s="3" t="s">
        <v>44</v>
      </c>
      <c r="J1" s="6"/>
      <c r="K1" s="6"/>
      <c r="L1" s="29" t="s">
        <v>205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>
      <c r="A2" s="3">
        <v>1.0</v>
      </c>
      <c r="B2" s="1" t="s">
        <v>7</v>
      </c>
      <c r="C2" s="1" t="s">
        <v>8</v>
      </c>
      <c r="D2" s="3">
        <v>63.0</v>
      </c>
      <c r="E2" s="3" t="str">
        <f t="shared" ref="E2:E18" si="1">C2&amp;" "&amp;B2&amp;" "&amp;D2</f>
        <v>Marcin Dzieński 63</v>
      </c>
      <c r="F2" s="1" t="s">
        <v>9</v>
      </c>
      <c r="G2" s="73">
        <v>7.87</v>
      </c>
      <c r="H2" s="73">
        <v>5.979</v>
      </c>
      <c r="I2" s="30">
        <f t="shared" ref="I2:I18" si="2">MIN(G2:H2)</f>
        <v>5.979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3">
        <v>2.0</v>
      </c>
      <c r="B3" s="1" t="s">
        <v>16</v>
      </c>
      <c r="C3" s="1" t="s">
        <v>17</v>
      </c>
      <c r="D3" s="3">
        <v>62.0</v>
      </c>
      <c r="E3" s="3" t="str">
        <f t="shared" si="1"/>
        <v>Mikołaj Wróblewski 62</v>
      </c>
      <c r="F3" s="3" t="s">
        <v>19</v>
      </c>
      <c r="G3" s="73">
        <v>6.17</v>
      </c>
      <c r="H3" s="73">
        <v>7.831</v>
      </c>
      <c r="I3" s="30">
        <f t="shared" si="2"/>
        <v>6.17</v>
      </c>
      <c r="J3" s="6"/>
      <c r="K3" s="6"/>
      <c r="L3" s="13" t="str">
        <f>E2</f>
        <v>Marcin Dzieński 63</v>
      </c>
      <c r="M3" s="65">
        <v>5.814</v>
      </c>
      <c r="N3" s="66"/>
      <c r="O3" s="7"/>
      <c r="V3" s="6"/>
      <c r="W3" s="6"/>
      <c r="X3" s="6"/>
      <c r="Y3" s="6"/>
    </row>
    <row r="4">
      <c r="A4" s="3">
        <v>3.0</v>
      </c>
      <c r="B4" s="7" t="s">
        <v>29</v>
      </c>
      <c r="C4" s="7" t="s">
        <v>30</v>
      </c>
      <c r="D4" s="3">
        <v>72.0</v>
      </c>
      <c r="E4" s="3" t="str">
        <f t="shared" si="1"/>
        <v>Tkach Yaroslav 72</v>
      </c>
      <c r="F4" s="7" t="s">
        <v>31</v>
      </c>
      <c r="G4" s="73">
        <v>6.352</v>
      </c>
      <c r="H4" s="73">
        <v>6.464</v>
      </c>
      <c r="I4" s="30">
        <f t="shared" si="2"/>
        <v>6.352</v>
      </c>
      <c r="J4" s="6"/>
      <c r="K4" s="6"/>
      <c r="L4" s="66"/>
      <c r="M4" s="67"/>
      <c r="N4" s="12" t="str">
        <f>IFS(M3&gt;M5,L5,M5&gt;M3,L3)</f>
        <v>Marcin Dzieński 63</v>
      </c>
      <c r="O4" s="68">
        <v>5.853</v>
      </c>
      <c r="V4" s="6"/>
      <c r="W4" s="6"/>
      <c r="X4" s="6"/>
      <c r="Y4" s="6"/>
    </row>
    <row r="5">
      <c r="A5" s="3">
        <v>4.0</v>
      </c>
      <c r="B5" s="1" t="s">
        <v>13</v>
      </c>
      <c r="C5" s="1" t="s">
        <v>14</v>
      </c>
      <c r="D5" s="3">
        <v>64.0</v>
      </c>
      <c r="E5" s="3" t="str">
        <f t="shared" si="1"/>
        <v>Hubert Przytuła 64</v>
      </c>
      <c r="F5" s="3" t="s">
        <v>15</v>
      </c>
      <c r="G5" s="73">
        <v>6.414</v>
      </c>
      <c r="H5" s="73">
        <v>1000.0</v>
      </c>
      <c r="I5" s="30">
        <f t="shared" si="2"/>
        <v>6.414</v>
      </c>
      <c r="J5" s="6"/>
      <c r="K5" s="6"/>
      <c r="L5" s="69" t="str">
        <f>E17</f>
        <v>Mateusz Dąbrowski 87</v>
      </c>
      <c r="M5" s="65">
        <v>10.499</v>
      </c>
      <c r="N5" s="7"/>
      <c r="O5" s="67"/>
      <c r="V5" s="6"/>
      <c r="W5" s="6"/>
      <c r="X5" s="6"/>
      <c r="Y5" s="6"/>
    </row>
    <row r="6">
      <c r="A6" s="3">
        <v>5.0</v>
      </c>
      <c r="B6" s="1" t="s">
        <v>10</v>
      </c>
      <c r="C6" s="1" t="s">
        <v>11</v>
      </c>
      <c r="D6" s="3">
        <v>98.0</v>
      </c>
      <c r="E6" s="3" t="str">
        <f t="shared" si="1"/>
        <v>Bartłomiej Podlewski 98</v>
      </c>
      <c r="F6" s="1" t="s">
        <v>12</v>
      </c>
      <c r="G6" s="73">
        <v>7.151</v>
      </c>
      <c r="H6" s="73">
        <v>1000.0</v>
      </c>
      <c r="I6" s="30">
        <f t="shared" si="2"/>
        <v>7.151</v>
      </c>
      <c r="J6" s="6"/>
      <c r="K6" s="6"/>
      <c r="L6" s="66"/>
      <c r="M6" s="7"/>
      <c r="N6" s="7"/>
      <c r="O6" s="7"/>
      <c r="P6" s="12" t="str">
        <f>IFS(O4&gt;O8,N8,O8&gt;O4,N4)</f>
        <v>Marcin Dzieński 63</v>
      </c>
      <c r="Q6" s="10">
        <v>5.735</v>
      </c>
      <c r="V6" s="6"/>
      <c r="W6" s="6"/>
      <c r="X6" s="6"/>
      <c r="Y6" s="6"/>
    </row>
    <row r="7">
      <c r="A7" s="3">
        <v>6.0</v>
      </c>
      <c r="B7" s="1" t="s">
        <v>27</v>
      </c>
      <c r="C7" s="1" t="s">
        <v>21</v>
      </c>
      <c r="D7" s="3">
        <v>39.0</v>
      </c>
      <c r="E7" s="3" t="str">
        <f t="shared" si="1"/>
        <v>Jan Tkaczyk 39</v>
      </c>
      <c r="F7" s="1" t="s">
        <v>28</v>
      </c>
      <c r="G7" s="73">
        <v>7.814</v>
      </c>
      <c r="H7" s="73">
        <v>2000.0</v>
      </c>
      <c r="I7" s="30">
        <f t="shared" si="2"/>
        <v>7.814</v>
      </c>
      <c r="J7" s="6"/>
      <c r="K7" s="6"/>
      <c r="L7" s="69" t="str">
        <f>E9</f>
        <v>Jan Kroszka 37</v>
      </c>
      <c r="M7" s="68">
        <v>0.0</v>
      </c>
      <c r="N7" s="66" t="s">
        <v>38</v>
      </c>
      <c r="O7" s="67"/>
      <c r="V7" s="6"/>
      <c r="W7" s="6"/>
      <c r="X7" s="6"/>
      <c r="Y7" s="6"/>
    </row>
    <row r="8">
      <c r="A8" s="3">
        <v>7.0</v>
      </c>
      <c r="B8" s="1" t="s">
        <v>138</v>
      </c>
      <c r="C8" s="1" t="s">
        <v>21</v>
      </c>
      <c r="D8" s="3">
        <v>91.0</v>
      </c>
      <c r="E8" s="3" t="str">
        <f t="shared" si="1"/>
        <v>Jan Swęd 91</v>
      </c>
      <c r="F8" s="1" t="s">
        <v>72</v>
      </c>
      <c r="G8" s="73">
        <v>8.84</v>
      </c>
      <c r="H8" s="73">
        <v>7.912</v>
      </c>
      <c r="I8" s="30">
        <f t="shared" si="2"/>
        <v>7.912</v>
      </c>
      <c r="J8" s="6"/>
      <c r="K8" s="6"/>
      <c r="L8" s="66"/>
      <c r="M8" s="67"/>
      <c r="N8" s="12" t="str">
        <f>IFS(M7&gt;M9,L9,M9&gt;M7,L7)</f>
        <v>Jan Kroszka 37</v>
      </c>
      <c r="O8" s="68">
        <v>7.671</v>
      </c>
      <c r="V8" s="6"/>
      <c r="W8" s="6"/>
      <c r="X8" s="6"/>
      <c r="Y8" s="6"/>
    </row>
    <row r="9">
      <c r="A9" s="3">
        <v>8.0</v>
      </c>
      <c r="B9" s="1" t="s">
        <v>20</v>
      </c>
      <c r="C9" s="1" t="s">
        <v>21</v>
      </c>
      <c r="D9" s="3">
        <v>37.0</v>
      </c>
      <c r="E9" s="3" t="str">
        <f t="shared" si="1"/>
        <v>Jan Kroszka 37</v>
      </c>
      <c r="F9" s="1" t="s">
        <v>22</v>
      </c>
      <c r="G9" s="73">
        <v>8.026</v>
      </c>
      <c r="H9" s="73">
        <v>8.483</v>
      </c>
      <c r="I9" s="30">
        <f t="shared" si="2"/>
        <v>8.026</v>
      </c>
      <c r="J9" s="6"/>
      <c r="K9" s="6"/>
      <c r="L9" s="69" t="str">
        <f>E10</f>
        <v>Szymon Dąbrowski 86</v>
      </c>
      <c r="M9" s="68">
        <v>1000.0</v>
      </c>
      <c r="N9" s="7"/>
      <c r="O9" s="7"/>
      <c r="V9" s="6"/>
      <c r="W9" s="6"/>
      <c r="X9" s="6"/>
      <c r="Y9" s="6"/>
    </row>
    <row r="10">
      <c r="A10" s="3">
        <v>9.0</v>
      </c>
      <c r="B10" s="3" t="s">
        <v>150</v>
      </c>
      <c r="C10" s="1" t="s">
        <v>142</v>
      </c>
      <c r="D10" s="3">
        <v>86.0</v>
      </c>
      <c r="E10" s="3" t="str">
        <f t="shared" si="1"/>
        <v>Szymon Dąbrowski 86</v>
      </c>
      <c r="F10" s="1" t="s">
        <v>72</v>
      </c>
      <c r="G10" s="73">
        <v>8.63</v>
      </c>
      <c r="H10" s="73">
        <v>8.23</v>
      </c>
      <c r="I10" s="30">
        <f t="shared" si="2"/>
        <v>8.23</v>
      </c>
      <c r="J10" s="6"/>
      <c r="K10" s="6"/>
      <c r="L10" s="66"/>
      <c r="M10" s="7"/>
      <c r="N10" s="7"/>
      <c r="O10" s="7"/>
      <c r="R10" s="8"/>
      <c r="V10" s="6"/>
      <c r="W10" s="6"/>
      <c r="X10" s="6"/>
      <c r="Y10" s="6"/>
    </row>
    <row r="11">
      <c r="A11" s="3">
        <v>10.0</v>
      </c>
      <c r="B11" s="7" t="s">
        <v>35</v>
      </c>
      <c r="C11" s="7" t="s">
        <v>36</v>
      </c>
      <c r="D11" s="3">
        <v>59.0</v>
      </c>
      <c r="E11" s="3" t="str">
        <f t="shared" si="1"/>
        <v>Diatlov Tymur 59</v>
      </c>
      <c r="F11" s="7" t="s">
        <v>37</v>
      </c>
      <c r="G11" s="73">
        <v>8.417</v>
      </c>
      <c r="H11" s="73">
        <v>8.791</v>
      </c>
      <c r="I11" s="30">
        <f t="shared" si="2"/>
        <v>8.417</v>
      </c>
      <c r="J11" s="6"/>
      <c r="K11" s="6"/>
      <c r="L11" s="69" t="str">
        <f>E5</f>
        <v>Hubert Przytuła 64</v>
      </c>
      <c r="M11" s="68">
        <v>8.532</v>
      </c>
      <c r="N11" s="66"/>
      <c r="O11" s="7"/>
      <c r="V11" s="6"/>
      <c r="W11" s="6"/>
      <c r="X11" s="6"/>
      <c r="Y11" s="6"/>
    </row>
    <row r="12">
      <c r="A12" s="3">
        <v>11.0</v>
      </c>
      <c r="B12" s="1" t="s">
        <v>180</v>
      </c>
      <c r="C12" s="1" t="s">
        <v>181</v>
      </c>
      <c r="D12" s="3">
        <v>73.0</v>
      </c>
      <c r="E12" s="3" t="str">
        <f t="shared" si="1"/>
        <v>Oskar Szalecki 73</v>
      </c>
      <c r="F12" s="1" t="s">
        <v>9</v>
      </c>
      <c r="G12" s="73">
        <v>8.429</v>
      </c>
      <c r="H12" s="73">
        <v>10.234</v>
      </c>
      <c r="I12" s="30">
        <f t="shared" si="2"/>
        <v>8.429</v>
      </c>
      <c r="J12" s="6"/>
      <c r="K12" s="6"/>
      <c r="L12" s="66"/>
      <c r="M12" s="67"/>
      <c r="N12" s="12" t="str">
        <f>IFS(M11&gt;M13,L13,M13&gt;M11,L11)</f>
        <v>Hubert Przytuła 64</v>
      </c>
      <c r="O12" s="68">
        <v>6.559</v>
      </c>
      <c r="V12" s="6"/>
      <c r="W12" s="6"/>
      <c r="X12" s="6"/>
      <c r="Y12" s="6"/>
    </row>
    <row r="13">
      <c r="A13" s="3">
        <v>12.0</v>
      </c>
      <c r="B13" s="1" t="s">
        <v>139</v>
      </c>
      <c r="C13" s="1" t="s">
        <v>140</v>
      </c>
      <c r="D13" s="3">
        <v>97.0</v>
      </c>
      <c r="E13" s="3" t="str">
        <f t="shared" si="1"/>
        <v>Eryk Nawój 97</v>
      </c>
      <c r="F13" s="1" t="s">
        <v>12</v>
      </c>
      <c r="G13" s="73">
        <v>8.637</v>
      </c>
      <c r="H13" s="73">
        <v>10.876</v>
      </c>
      <c r="I13" s="30">
        <f t="shared" si="2"/>
        <v>8.637</v>
      </c>
      <c r="J13" s="6"/>
      <c r="K13" s="6"/>
      <c r="L13" s="69" t="str">
        <f>E14</f>
        <v>Ernest Strączyński 49</v>
      </c>
      <c r="M13" s="68">
        <v>9.575</v>
      </c>
      <c r="N13" s="7"/>
      <c r="O13" s="67"/>
      <c r="P13" s="8" t="s">
        <v>38</v>
      </c>
      <c r="S13" s="71" t="s">
        <v>58</v>
      </c>
      <c r="V13" s="6"/>
      <c r="W13" s="6"/>
      <c r="X13" s="6"/>
      <c r="Y13" s="6"/>
    </row>
    <row r="14">
      <c r="A14" s="3">
        <v>13.0</v>
      </c>
      <c r="B14" s="1" t="s">
        <v>23</v>
      </c>
      <c r="C14" s="1" t="s">
        <v>24</v>
      </c>
      <c r="D14" s="3">
        <v>49.0</v>
      </c>
      <c r="E14" s="3" t="str">
        <f t="shared" si="1"/>
        <v>Ernest Strączyński 49</v>
      </c>
      <c r="F14" s="1" t="s">
        <v>26</v>
      </c>
      <c r="G14" s="73">
        <v>16.247</v>
      </c>
      <c r="H14" s="73">
        <v>10.136</v>
      </c>
      <c r="I14" s="30">
        <f t="shared" si="2"/>
        <v>10.136</v>
      </c>
      <c r="J14" s="6"/>
      <c r="K14" s="6"/>
      <c r="L14" s="66"/>
      <c r="M14" s="7"/>
      <c r="N14" s="7"/>
      <c r="O14" s="7"/>
      <c r="P14" s="12" t="str">
        <f>IFS(O12&gt;O16,N16,O16&gt;O12,N12)</f>
        <v>Hubert Przytuła 64</v>
      </c>
      <c r="Q14" s="10">
        <v>11.393</v>
      </c>
      <c r="R14" s="8"/>
      <c r="S14" s="13" t="str">
        <f>Ifs(Q6&gt;Q14,P14,Q14&gt;Q6,P6)</f>
        <v>Marcin Dzieński 63</v>
      </c>
      <c r="T14" s="10">
        <v>7.127</v>
      </c>
      <c r="U14" s="8" t="s">
        <v>61</v>
      </c>
      <c r="V14" s="6"/>
      <c r="W14" s="6"/>
      <c r="X14" s="6"/>
      <c r="Y14" s="6"/>
    </row>
    <row r="15">
      <c r="A15" s="3">
        <v>14.0</v>
      </c>
      <c r="B15" s="1" t="s">
        <v>147</v>
      </c>
      <c r="C15" s="1" t="s">
        <v>17</v>
      </c>
      <c r="D15" s="3">
        <v>55.0</v>
      </c>
      <c r="E15" s="3" t="str">
        <f t="shared" si="1"/>
        <v>Mikołaj Barabas 55</v>
      </c>
      <c r="F15" s="1" t="s">
        <v>28</v>
      </c>
      <c r="G15" s="73">
        <v>11.346</v>
      </c>
      <c r="H15" s="73">
        <v>10.144</v>
      </c>
      <c r="I15" s="30">
        <f t="shared" si="2"/>
        <v>10.144</v>
      </c>
      <c r="J15" s="6"/>
      <c r="K15" s="6"/>
      <c r="L15" s="69" t="str">
        <f>E6</f>
        <v>Bartłomiej Podlewski 98</v>
      </c>
      <c r="M15" s="68">
        <v>7.916</v>
      </c>
      <c r="N15" s="66"/>
      <c r="O15" s="67"/>
      <c r="U15" s="14" t="str">
        <f>ifs(T16&gt;T14,S14,T14&gt;T16,S16)</f>
        <v>Tkach Yaroslav 72</v>
      </c>
      <c r="V15" s="6"/>
      <c r="W15" s="6"/>
      <c r="X15" s="6"/>
      <c r="Y15" s="6"/>
    </row>
    <row r="16">
      <c r="A16" s="3">
        <v>15.0</v>
      </c>
      <c r="B16" s="7" t="s">
        <v>32</v>
      </c>
      <c r="C16" s="7" t="s">
        <v>33</v>
      </c>
      <c r="D16" s="3">
        <v>85.0</v>
      </c>
      <c r="E16" s="3" t="str">
        <f t="shared" si="1"/>
        <v>Mark Shutko 85</v>
      </c>
      <c r="F16" s="7" t="s">
        <v>34</v>
      </c>
      <c r="G16" s="73">
        <v>1000.0</v>
      </c>
      <c r="H16" s="73">
        <v>10.432</v>
      </c>
      <c r="I16" s="30">
        <f t="shared" si="2"/>
        <v>10.432</v>
      </c>
      <c r="J16" s="6"/>
      <c r="K16" s="6"/>
      <c r="L16" s="66"/>
      <c r="M16" s="67"/>
      <c r="N16" s="12" t="str">
        <f>IFS(M15&gt;M17,L17,M17&gt;M15,L15)</f>
        <v>Bartłomiej Podlewski 98</v>
      </c>
      <c r="O16" s="68">
        <v>1000.0</v>
      </c>
      <c r="S16" s="13" t="str">
        <f>ifs(Q22&gt;Q30,P30,Q30&gt;Q22,P22)</f>
        <v>Tkach Yaroslav 72</v>
      </c>
      <c r="T16" s="10">
        <v>6.065</v>
      </c>
      <c r="U16" s="8" t="s">
        <v>68</v>
      </c>
      <c r="V16" s="6"/>
      <c r="W16" s="6"/>
      <c r="X16" s="6"/>
      <c r="Y16" s="6"/>
    </row>
    <row r="17">
      <c r="A17" s="15">
        <v>16.0</v>
      </c>
      <c r="B17" s="16" t="s">
        <v>150</v>
      </c>
      <c r="C17" s="16" t="s">
        <v>151</v>
      </c>
      <c r="D17" s="15">
        <v>87.0</v>
      </c>
      <c r="E17" s="15" t="str">
        <f t="shared" si="1"/>
        <v>Mateusz Dąbrowski 87</v>
      </c>
      <c r="F17" s="16" t="s">
        <v>72</v>
      </c>
      <c r="G17" s="74">
        <v>10.819</v>
      </c>
      <c r="H17" s="74">
        <v>10.691</v>
      </c>
      <c r="I17" s="39">
        <f t="shared" si="2"/>
        <v>10.691</v>
      </c>
      <c r="J17" s="23" t="s">
        <v>67</v>
      </c>
      <c r="K17" s="4"/>
      <c r="L17" s="69" t="str">
        <f>E13</f>
        <v>Eryk Nawój 97</v>
      </c>
      <c r="M17" s="68">
        <v>9.434</v>
      </c>
      <c r="N17" s="7"/>
      <c r="O17" s="7"/>
      <c r="T17" s="8" t="s">
        <v>38</v>
      </c>
      <c r="U17" s="14" t="str">
        <f>ifs(T14&gt;T16,S14,T16&gt;T14,S16)</f>
        <v>Marcin Dzieński 63</v>
      </c>
      <c r="V17" s="6"/>
      <c r="W17" s="6"/>
      <c r="X17" s="6"/>
      <c r="Y17" s="6"/>
    </row>
    <row r="18">
      <c r="A18" s="3">
        <v>17.0</v>
      </c>
      <c r="B18" s="1" t="s">
        <v>163</v>
      </c>
      <c r="C18" s="1" t="s">
        <v>157</v>
      </c>
      <c r="D18" s="3">
        <v>93.0</v>
      </c>
      <c r="E18" s="3" t="str">
        <f t="shared" si="1"/>
        <v>Filip Łoboda 93</v>
      </c>
      <c r="F18" s="1" t="s">
        <v>60</v>
      </c>
      <c r="G18" s="73">
        <v>1000.0</v>
      </c>
      <c r="H18" s="73">
        <v>18.999</v>
      </c>
      <c r="I18" s="30">
        <f t="shared" si="2"/>
        <v>18.999</v>
      </c>
      <c r="J18" s="6"/>
      <c r="K18" s="6"/>
      <c r="R18" s="8"/>
      <c r="V18" s="6"/>
      <c r="W18" s="6"/>
      <c r="X18" s="6"/>
      <c r="Y18" s="6"/>
    </row>
    <row r="19">
      <c r="A19" s="3"/>
      <c r="B19" s="1"/>
      <c r="C19" s="1"/>
      <c r="D19" s="3"/>
      <c r="E19" s="3"/>
      <c r="F19" s="1"/>
      <c r="G19" s="73"/>
      <c r="H19" s="73"/>
      <c r="I19" s="30"/>
      <c r="J19" s="6"/>
      <c r="K19" s="6"/>
      <c r="L19" s="13" t="str">
        <f>E3</f>
        <v>Mikołaj Wróblewski 62</v>
      </c>
      <c r="M19" s="65">
        <v>1000.0</v>
      </c>
      <c r="N19" s="66"/>
      <c r="O19" s="7"/>
      <c r="S19" s="71" t="s">
        <v>75</v>
      </c>
      <c r="V19" s="6"/>
      <c r="W19" s="6"/>
      <c r="X19" s="6"/>
      <c r="Y19" s="6"/>
    </row>
    <row r="20">
      <c r="A20" s="3"/>
      <c r="G20" s="3"/>
      <c r="H20" s="6"/>
      <c r="I20" s="6"/>
      <c r="J20" s="6"/>
      <c r="K20" s="6"/>
      <c r="L20" s="66"/>
      <c r="M20" s="67"/>
      <c r="N20" s="12" t="str">
        <f>IFS(M19&gt;M21,L21,M21&gt;M19,L19)</f>
        <v>Mark Shutko 85</v>
      </c>
      <c r="O20" s="68">
        <v>11.65</v>
      </c>
      <c r="S20" s="12" t="str">
        <f>IFS(Q6&gt;Q14,P6,Q14&gt;Q6,P14)</f>
        <v>Hubert Przytuła 64</v>
      </c>
      <c r="T20" s="10">
        <v>6.488</v>
      </c>
      <c r="U20" s="8" t="s">
        <v>78</v>
      </c>
      <c r="V20" s="6"/>
      <c r="W20" s="6"/>
      <c r="X20" s="6"/>
      <c r="Y20" s="6"/>
    </row>
    <row r="21">
      <c r="A21" s="3"/>
      <c r="G21" s="3"/>
      <c r="H21" s="6"/>
      <c r="I21" s="6"/>
      <c r="J21" s="6"/>
      <c r="K21" s="6"/>
      <c r="L21" s="69" t="str">
        <f>E16</f>
        <v>Mark Shutko 85</v>
      </c>
      <c r="M21" s="65">
        <v>13.204</v>
      </c>
      <c r="N21" s="7"/>
      <c r="O21" s="67"/>
      <c r="U21" s="14" t="str">
        <f>ifs(T22&gt;T20,S20,T20&gt;T22,S22)</f>
        <v>Hubert Przytuła 64</v>
      </c>
      <c r="V21" s="6"/>
      <c r="W21" s="6"/>
      <c r="X21" s="6"/>
      <c r="Y21" s="6"/>
    </row>
    <row r="22">
      <c r="A22" s="3"/>
      <c r="G22" s="3"/>
      <c r="H22" s="6"/>
      <c r="I22" s="6"/>
      <c r="J22" s="6"/>
      <c r="K22" s="6"/>
      <c r="L22" s="66"/>
      <c r="M22" s="7"/>
      <c r="N22" s="7"/>
      <c r="O22" s="7"/>
      <c r="P22" s="12" t="str">
        <f>IFS(O20&gt;O24,N24,O24&gt;O20,N20)</f>
        <v>Diatlov Tymur 59</v>
      </c>
      <c r="Q22" s="10">
        <v>12.79</v>
      </c>
      <c r="R22" s="8"/>
      <c r="S22" s="13" t="str">
        <f>IFS(Q22&gt;Q30,P22,Q30&gt;Q22,P30)</f>
        <v>Diatlov Tymur 59</v>
      </c>
      <c r="T22" s="10">
        <v>1000.0</v>
      </c>
      <c r="U22" s="8" t="s">
        <v>83</v>
      </c>
      <c r="V22" s="6"/>
      <c r="W22" s="6"/>
      <c r="X22" s="6"/>
      <c r="Y22" s="6"/>
    </row>
    <row r="23">
      <c r="A23" s="6"/>
      <c r="G23" s="3"/>
      <c r="H23" s="6"/>
      <c r="I23" s="6"/>
      <c r="J23" s="6"/>
      <c r="K23" s="6"/>
      <c r="L23" s="69" t="str">
        <f>E8</f>
        <v>Jan Swęd 91</v>
      </c>
      <c r="M23" s="68">
        <v>1000.0</v>
      </c>
      <c r="N23" s="66" t="s">
        <v>38</v>
      </c>
      <c r="O23" s="67"/>
      <c r="U23" s="14" t="str">
        <f>ifs(T20&gt;T22,S20,T22&gt;T20,S22)</f>
        <v>Diatlov Tymur 59</v>
      </c>
      <c r="V23" s="6"/>
      <c r="W23" s="6"/>
      <c r="X23" s="6"/>
      <c r="Y23" s="6"/>
    </row>
    <row r="24">
      <c r="A24" s="6"/>
      <c r="G24" s="3"/>
      <c r="H24" s="6"/>
      <c r="I24" s="6"/>
      <c r="J24" s="6"/>
      <c r="K24" s="6"/>
      <c r="L24" s="66"/>
      <c r="M24" s="67"/>
      <c r="N24" s="12" t="str">
        <f>IFS(M23&gt;M25,L25,M25&gt;M23,L23)</f>
        <v>Diatlov Tymur 59</v>
      </c>
      <c r="O24" s="68">
        <v>8.612</v>
      </c>
      <c r="V24" s="6"/>
      <c r="W24" s="6"/>
      <c r="X24" s="6"/>
      <c r="Y24" s="6"/>
    </row>
    <row r="25">
      <c r="A25" s="6"/>
      <c r="G25" s="3"/>
      <c r="H25" s="6"/>
      <c r="I25" s="64"/>
      <c r="J25" s="6"/>
      <c r="K25" s="6"/>
      <c r="L25" s="69" t="str">
        <f>E11</f>
        <v>Diatlov Tymur 59</v>
      </c>
      <c r="M25" s="68">
        <v>9.476</v>
      </c>
      <c r="N25" s="7"/>
      <c r="O25" s="7"/>
      <c r="V25" s="6"/>
      <c r="W25" s="6"/>
      <c r="X25" s="6"/>
      <c r="Y25" s="6"/>
    </row>
    <row r="26">
      <c r="A26" s="6"/>
      <c r="G26" s="3"/>
      <c r="H26" s="6"/>
      <c r="I26" s="6"/>
      <c r="J26" s="6"/>
      <c r="K26" s="6"/>
      <c r="L26" s="66"/>
      <c r="M26" s="7"/>
      <c r="N26" s="7"/>
      <c r="O26" s="7"/>
      <c r="V26" s="6"/>
      <c r="W26" s="6"/>
      <c r="X26" s="6"/>
      <c r="Y26" s="6"/>
    </row>
    <row r="27">
      <c r="A27" s="6"/>
      <c r="G27" s="3"/>
      <c r="H27" s="6"/>
      <c r="I27" s="6"/>
      <c r="J27" s="6"/>
      <c r="K27" s="6"/>
      <c r="L27" s="69" t="str">
        <f>E4</f>
        <v>Tkach Yaroslav 72</v>
      </c>
      <c r="M27" s="68">
        <v>0.0</v>
      </c>
      <c r="N27" s="66"/>
      <c r="O27" s="7"/>
      <c r="V27" s="6"/>
      <c r="W27" s="6"/>
      <c r="X27" s="6"/>
      <c r="Y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6"/>
      <c r="M28" s="67"/>
      <c r="N28" s="12" t="str">
        <f>IFS(M27&gt;M29,L29,M29&gt;M27,L27)</f>
        <v>Tkach Yaroslav 72</v>
      </c>
      <c r="O28" s="68">
        <v>6.738</v>
      </c>
      <c r="V28" s="6"/>
      <c r="W28" s="6"/>
      <c r="X28" s="6"/>
      <c r="Y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9" t="str">
        <f>E15</f>
        <v>Mikołaj Barabas 55</v>
      </c>
      <c r="M29" s="68">
        <v>1000.0</v>
      </c>
      <c r="N29" s="7"/>
      <c r="O29" s="67"/>
      <c r="V29" s="6"/>
      <c r="W29" s="6"/>
      <c r="X29" s="6"/>
      <c r="Y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6"/>
      <c r="M30" s="7"/>
      <c r="N30" s="7"/>
      <c r="O30" s="7"/>
      <c r="P30" s="12" t="str">
        <f>IFS(O28&gt;O32,N32,O32&gt;O28,N28)</f>
        <v>Tkach Yaroslav 72</v>
      </c>
      <c r="Q30" s="10">
        <v>6.608</v>
      </c>
      <c r="V30" s="6"/>
      <c r="W30" s="6"/>
      <c r="X30" s="6"/>
      <c r="Y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9" t="str">
        <f>E7</f>
        <v>Jan Tkaczyk 39</v>
      </c>
      <c r="M31" s="68">
        <v>8.67</v>
      </c>
      <c r="N31" s="66"/>
      <c r="O31" s="67"/>
      <c r="V31" s="6"/>
      <c r="W31" s="6"/>
      <c r="X31" s="6"/>
      <c r="Y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6"/>
      <c r="M32" s="67"/>
      <c r="N32" s="12" t="str">
        <f>IFS(M31&gt;M33,L33,M33&gt;M31,L31)</f>
        <v>Jan Tkaczyk 39</v>
      </c>
      <c r="O32" s="68">
        <v>6.934</v>
      </c>
      <c r="V32" s="6"/>
      <c r="W32" s="6"/>
      <c r="X32" s="6"/>
      <c r="Y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9" t="str">
        <f>E12</f>
        <v>Oskar Szalecki 73</v>
      </c>
      <c r="M33" s="68">
        <v>9.543</v>
      </c>
      <c r="N33" s="7"/>
      <c r="O33" s="7"/>
      <c r="V33" s="6"/>
      <c r="W33" s="6"/>
      <c r="X33" s="6"/>
      <c r="Y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printOptions/>
  <pageMargins bottom="0.75" footer="0.0" header="0.0" left="0.7" right="0.7" top="0.75"/>
  <pageSetup fitToHeight="0" paperSize="9" orientation="landscape" pageOrder="overThenDown"/>
  <drawing r:id="rId1"/>
</worksheet>
</file>